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5.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6.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7.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1"/>
  <workbookPr defaultThemeVersion="124226"/>
  <mc:AlternateContent xmlns:mc="http://schemas.openxmlformats.org/markup-compatibility/2006">
    <mc:Choice Requires="x15">
      <x15ac:absPath xmlns:x15ac="http://schemas.microsoft.com/office/spreadsheetml/2010/11/ac" url="/Users/Boaz/Desktop/עבודה/"/>
    </mc:Choice>
  </mc:AlternateContent>
  <xr:revisionPtr revIDLastSave="0" documentId="13_ncr:1_{CF15EE22-BB33-1443-915B-746995AD82B6}" xr6:coauthVersionLast="45" xr6:coauthVersionMax="45" xr10:uidLastSave="{00000000-0000-0000-0000-000000000000}"/>
  <bookViews>
    <workbookView xWindow="0" yWindow="500" windowWidth="28800" windowHeight="16460" tabRatio="931" activeTab="8" xr2:uid="{00000000-000D-0000-FFFF-FFFF00000000}"/>
  </bookViews>
  <sheets>
    <sheet name="לעדכון ראובן" sheetId="4" state="hidden" r:id="rId1"/>
    <sheet name="שינויים פעולות כלליות" sheetId="5" state="hidden" r:id="rId2"/>
    <sheet name="גיליון2" sheetId="48" state="hidden" r:id="rId3"/>
    <sheet name="גיליון3" sheetId="49" state="hidden" r:id="rId4"/>
    <sheet name="טופס 2 לתקציב" sheetId="6" r:id="rId5"/>
    <sheet name="עמוד 8" sheetId="7" r:id="rId6"/>
    <sheet name="עמוד 9" sheetId="8" r:id="rId7"/>
    <sheet name="עמוד 10" sheetId="14" r:id="rId8"/>
    <sheet name="עמוד 11" sheetId="10" r:id="rId9"/>
    <sheet name="עמוד 12" sheetId="11" r:id="rId10"/>
    <sheet name="עמוד 13" sheetId="12" r:id="rId11"/>
    <sheet name="שכר ומשרות לפי תקציב" sheetId="28" r:id="rId12"/>
    <sheet name="ריכוז תקבולים ותשלומים" sheetId="27" r:id="rId13"/>
    <sheet name="מפורט סעיפים" sheetId="26" r:id="rId14"/>
    <sheet name="השתתפות בחינוך ורווחה" sheetId="29" state="hidden" r:id="rId15"/>
    <sheet name="גליון עזר חדש" sheetId="40" state="hidden" r:id="rId16"/>
    <sheet name="גליון עזר " sheetId="34" state="hidden" r:id="rId17"/>
    <sheet name="פירוט למחלקות" sheetId="39" state="hidden" r:id="rId18"/>
    <sheet name="2017 עדכני" sheetId="44" state="hidden" r:id="rId19"/>
    <sheet name="השוואה" sheetId="45" state="hidden" r:id="rId20"/>
    <sheet name="סעיפים תקציב רווחה" sheetId="43" state="hidden" r:id="rId21"/>
  </sheets>
  <externalReferences>
    <externalReference r:id="rId22"/>
    <externalReference r:id="rId23"/>
  </externalReferences>
  <definedNames>
    <definedName name="_xlnm._FilterDatabase" localSheetId="1" hidden="1">'שינויים פעולות כלליות'!$A$2:$E$2</definedName>
    <definedName name="_xlnm.Print_Area" localSheetId="4">'טופס 2 לתקציב'!$A$1:$I$51</definedName>
    <definedName name="_xlnm.Print_Area" localSheetId="13">'מפורט סעיפים'!$A$1:$K$1398</definedName>
    <definedName name="_xlnm.Print_Area" localSheetId="20">'סעיפים תקציב רווחה'!$A$1:$I$341</definedName>
    <definedName name="_xlnm.Print_Area" localSheetId="7">'עמוד 10'!$A$2:$J$29</definedName>
    <definedName name="_xlnm.Print_Area" localSheetId="8">'עמוד 11'!$B$1:$L$38</definedName>
    <definedName name="_xlnm.Print_Area" localSheetId="9">'עמוד 12'!$A$1:$L$36</definedName>
    <definedName name="_xlnm.Print_Area" localSheetId="10">'עמוד 13'!$A$2:$I$35</definedName>
    <definedName name="_xlnm.Print_Area" localSheetId="5">'עמוד 8'!$B$2:$L$31</definedName>
    <definedName name="_xlnm.Print_Area" localSheetId="6">'עמוד 9'!$A$2:$L$35</definedName>
    <definedName name="_xlnm.Print_Area" localSheetId="12">'ריכוז תקבולים ותשלומים'!$A$1:$K$65</definedName>
    <definedName name="_xlnm.Print_Titles" localSheetId="13">'מפורט סעיפים'!$3:$6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27" i="28" l="1"/>
  <c r="K30" i="28" l="1"/>
  <c r="I12" i="28" l="1"/>
  <c r="G3" i="49" l="1"/>
  <c r="G4" i="49"/>
  <c r="G5" i="49"/>
  <c r="G6" i="49"/>
  <c r="G7" i="49"/>
  <c r="G8" i="49"/>
  <c r="G9" i="49"/>
  <c r="G10" i="49"/>
  <c r="G11" i="49"/>
  <c r="G12" i="49"/>
  <c r="G13" i="49"/>
  <c r="G14" i="49"/>
  <c r="G15" i="49"/>
  <c r="G16" i="49"/>
  <c r="G17" i="49"/>
  <c r="G18" i="49"/>
  <c r="G19" i="49"/>
  <c r="G20" i="49"/>
  <c r="G21" i="49"/>
  <c r="G22" i="49"/>
  <c r="G23" i="49"/>
  <c r="G24" i="49"/>
  <c r="G25" i="49"/>
  <c r="G26" i="49"/>
  <c r="G27" i="49"/>
  <c r="G28" i="49"/>
  <c r="G29" i="49"/>
  <c r="G30" i="49"/>
  <c r="G31" i="49"/>
  <c r="G32" i="49"/>
  <c r="G33" i="49"/>
  <c r="G34" i="49"/>
  <c r="G35" i="49"/>
  <c r="G36" i="49"/>
  <c r="G37" i="49"/>
  <c r="G38" i="49"/>
  <c r="G39" i="49"/>
  <c r="G40" i="49"/>
  <c r="G41" i="49"/>
  <c r="G42" i="49"/>
  <c r="G43" i="49"/>
  <c r="G44" i="49"/>
  <c r="G45" i="49"/>
  <c r="G46" i="49"/>
  <c r="G47" i="49"/>
  <c r="G48" i="49"/>
  <c r="G49" i="49"/>
  <c r="G50" i="49"/>
  <c r="G51" i="49"/>
  <c r="G52" i="49"/>
  <c r="G53" i="49"/>
  <c r="G54" i="49"/>
  <c r="G55" i="49"/>
  <c r="G56" i="49"/>
  <c r="G57" i="49"/>
  <c r="G58" i="49"/>
  <c r="G59" i="49"/>
  <c r="G60" i="49"/>
  <c r="G61" i="49"/>
  <c r="G62" i="49"/>
  <c r="G63" i="49"/>
  <c r="G64" i="49"/>
  <c r="G65" i="49"/>
  <c r="G66" i="49"/>
  <c r="G67" i="49"/>
  <c r="G68" i="49"/>
  <c r="G69" i="49"/>
  <c r="G70" i="49"/>
  <c r="G71" i="49"/>
  <c r="G72" i="49"/>
  <c r="G73" i="49"/>
  <c r="G74" i="49"/>
  <c r="G75" i="49"/>
  <c r="G76" i="49"/>
  <c r="G77" i="49"/>
  <c r="G78" i="49"/>
  <c r="G79" i="49"/>
  <c r="G80" i="49"/>
  <c r="G81" i="49"/>
  <c r="G82" i="49"/>
  <c r="G83" i="49"/>
  <c r="G84" i="49"/>
  <c r="G85" i="49"/>
  <c r="G86" i="49"/>
  <c r="G87" i="49"/>
  <c r="G88" i="49"/>
  <c r="G89" i="49"/>
  <c r="G90" i="49"/>
  <c r="G91" i="49"/>
  <c r="G92" i="49"/>
  <c r="G93" i="49"/>
  <c r="G94" i="49"/>
  <c r="G95" i="49"/>
  <c r="G96" i="49"/>
  <c r="G97" i="49"/>
  <c r="G98" i="49"/>
  <c r="G99" i="49"/>
  <c r="G100" i="49"/>
  <c r="G101" i="49"/>
  <c r="G102" i="49"/>
  <c r="G103" i="49"/>
  <c r="G104" i="49"/>
  <c r="G105" i="49"/>
  <c r="G106" i="49"/>
  <c r="G107" i="49"/>
  <c r="G108" i="49"/>
  <c r="G109" i="49"/>
  <c r="G110" i="49"/>
  <c r="G111" i="49"/>
  <c r="G112" i="49"/>
  <c r="G113" i="49"/>
  <c r="G114" i="49"/>
  <c r="G115" i="49"/>
  <c r="G116" i="49"/>
  <c r="G117" i="49"/>
  <c r="G118" i="49"/>
  <c r="G119" i="49"/>
  <c r="G120" i="49"/>
  <c r="G121" i="49"/>
  <c r="G122" i="49"/>
  <c r="G123" i="49"/>
  <c r="G124" i="49"/>
  <c r="G125" i="49"/>
  <c r="G126" i="49"/>
  <c r="G127" i="49"/>
  <c r="G128" i="49"/>
  <c r="G129" i="49"/>
  <c r="G130" i="49"/>
  <c r="G131" i="49"/>
  <c r="G132" i="49"/>
  <c r="G133" i="49"/>
  <c r="G134" i="49"/>
  <c r="G135" i="49"/>
  <c r="G136" i="49"/>
  <c r="G137" i="49"/>
  <c r="G138" i="49"/>
  <c r="G139" i="49"/>
  <c r="G140" i="49"/>
  <c r="G141" i="49"/>
  <c r="G142" i="49"/>
  <c r="G143" i="49"/>
  <c r="G144" i="49"/>
  <c r="G145" i="49"/>
  <c r="G146" i="49"/>
  <c r="G147" i="49"/>
  <c r="G148" i="49"/>
  <c r="G149" i="49"/>
  <c r="G150" i="49"/>
  <c r="G151" i="49"/>
  <c r="G152" i="49"/>
  <c r="G153" i="49"/>
  <c r="G154" i="49"/>
  <c r="G155" i="49"/>
  <c r="G156" i="49"/>
  <c r="G157" i="49"/>
  <c r="G158" i="49"/>
  <c r="G159" i="49"/>
  <c r="G160" i="49"/>
  <c r="G161" i="49"/>
  <c r="G162" i="49"/>
  <c r="G163" i="49"/>
  <c r="G164" i="49"/>
  <c r="G165" i="49"/>
  <c r="G166" i="49"/>
  <c r="G167" i="49"/>
  <c r="G168" i="49"/>
  <c r="G169" i="49"/>
  <c r="G170" i="49"/>
  <c r="G171" i="49"/>
  <c r="G172" i="49"/>
  <c r="G173" i="49"/>
  <c r="G174" i="49"/>
  <c r="G175" i="49"/>
  <c r="G176" i="49"/>
  <c r="G177" i="49"/>
  <c r="G178" i="49"/>
  <c r="G179" i="49"/>
  <c r="G180" i="49"/>
  <c r="G181" i="49"/>
  <c r="G182" i="49"/>
  <c r="G183" i="49"/>
  <c r="G184" i="49"/>
  <c r="G185" i="49"/>
  <c r="G186" i="49"/>
  <c r="G187" i="49"/>
  <c r="G188" i="49"/>
  <c r="G189" i="49"/>
  <c r="G190" i="49"/>
  <c r="G191" i="49"/>
  <c r="G192" i="49"/>
  <c r="G193" i="49"/>
  <c r="G194" i="49"/>
  <c r="G195" i="49"/>
  <c r="G196" i="49"/>
  <c r="G197" i="49"/>
  <c r="G198" i="49"/>
  <c r="G199" i="49"/>
  <c r="G200" i="49"/>
  <c r="G201" i="49"/>
  <c r="G202" i="49"/>
  <c r="G203" i="49"/>
  <c r="G204" i="49"/>
  <c r="G205" i="49"/>
  <c r="G206" i="49"/>
  <c r="G207" i="49"/>
  <c r="G208" i="49"/>
  <c r="G209" i="49"/>
  <c r="G210" i="49"/>
  <c r="G211" i="49"/>
  <c r="G212" i="49"/>
  <c r="G213" i="49"/>
  <c r="G214" i="49"/>
  <c r="G215" i="49"/>
  <c r="G216" i="49"/>
  <c r="G217" i="49"/>
  <c r="G218" i="49"/>
  <c r="G219" i="49"/>
  <c r="G220" i="49"/>
  <c r="G221" i="49"/>
  <c r="G222" i="49"/>
  <c r="G223" i="49"/>
  <c r="G224" i="49"/>
  <c r="G225" i="49"/>
  <c r="G226" i="49"/>
  <c r="G227" i="49"/>
  <c r="G228" i="49"/>
  <c r="G229" i="49"/>
  <c r="G230" i="49"/>
  <c r="G231" i="49"/>
  <c r="G232" i="49"/>
  <c r="G233" i="49"/>
  <c r="G234" i="49"/>
  <c r="G235" i="49"/>
  <c r="G236" i="49"/>
  <c r="G237" i="49"/>
  <c r="G238" i="49"/>
  <c r="G239" i="49"/>
  <c r="G240" i="49"/>
  <c r="G241" i="49"/>
  <c r="G242" i="49"/>
  <c r="G243" i="49"/>
  <c r="G244" i="49"/>
  <c r="G245" i="49"/>
  <c r="G246" i="49"/>
  <c r="G247" i="49"/>
  <c r="G248" i="49"/>
  <c r="G249" i="49"/>
  <c r="G250" i="49"/>
  <c r="G251" i="49"/>
  <c r="G252" i="49"/>
  <c r="G253" i="49"/>
  <c r="G254" i="49"/>
  <c r="G255" i="49"/>
  <c r="G256" i="49"/>
  <c r="G257" i="49"/>
  <c r="G258" i="49"/>
  <c r="G259" i="49"/>
  <c r="G260" i="49"/>
  <c r="G261" i="49"/>
  <c r="G262" i="49"/>
  <c r="G263" i="49"/>
  <c r="G264" i="49"/>
  <c r="G265" i="49"/>
  <c r="G266" i="49"/>
  <c r="G267" i="49"/>
  <c r="G268" i="49"/>
  <c r="G269" i="49"/>
  <c r="G270" i="49"/>
  <c r="G271" i="49"/>
  <c r="G272" i="49"/>
  <c r="G273" i="49"/>
  <c r="G274" i="49"/>
  <c r="G275" i="49"/>
  <c r="G276" i="49"/>
  <c r="G277" i="49"/>
  <c r="G278" i="49"/>
  <c r="G279" i="49"/>
  <c r="G280" i="49"/>
  <c r="G281" i="49"/>
  <c r="G282" i="49"/>
  <c r="G283" i="49"/>
  <c r="G284" i="49"/>
  <c r="G285" i="49"/>
  <c r="G286" i="49"/>
  <c r="G287" i="49"/>
  <c r="G288" i="49"/>
  <c r="G289" i="49"/>
  <c r="G290" i="49"/>
  <c r="G291" i="49"/>
  <c r="G292" i="49"/>
  <c r="G293" i="49"/>
  <c r="G294" i="49"/>
  <c r="G295" i="49"/>
  <c r="G296" i="49"/>
  <c r="G297" i="49"/>
  <c r="G298" i="49"/>
  <c r="G299" i="49"/>
  <c r="G300" i="49"/>
  <c r="G301" i="49"/>
  <c r="G302" i="49"/>
  <c r="G303" i="49"/>
  <c r="G304" i="49"/>
  <c r="G305" i="49"/>
  <c r="G306" i="49"/>
  <c r="G307" i="49"/>
  <c r="G308" i="49"/>
  <c r="G309" i="49"/>
  <c r="G310" i="49"/>
  <c r="G311" i="49"/>
  <c r="G312" i="49"/>
  <c r="G313" i="49"/>
  <c r="G314" i="49"/>
  <c r="G315" i="49"/>
  <c r="G316" i="49"/>
  <c r="G317" i="49"/>
  <c r="G318" i="49"/>
  <c r="G319" i="49"/>
  <c r="G320" i="49"/>
  <c r="G321" i="49"/>
  <c r="G322" i="49"/>
  <c r="G323" i="49"/>
  <c r="G324" i="49"/>
  <c r="G325" i="49"/>
  <c r="G326" i="49"/>
  <c r="G327" i="49"/>
  <c r="G328" i="49"/>
  <c r="G329" i="49"/>
  <c r="G330" i="49"/>
  <c r="G331" i="49"/>
  <c r="G332" i="49"/>
  <c r="G333" i="49"/>
  <c r="G334" i="49"/>
  <c r="G335" i="49"/>
  <c r="G336" i="49"/>
  <c r="G337" i="49"/>
  <c r="G338" i="49"/>
  <c r="G339" i="49"/>
  <c r="G340" i="49"/>
  <c r="G341" i="49"/>
  <c r="G342" i="49"/>
  <c r="G343" i="49"/>
  <c r="G344" i="49"/>
  <c r="G345" i="49"/>
  <c r="G346" i="49"/>
  <c r="G347" i="49"/>
  <c r="G348" i="49"/>
  <c r="G349" i="49"/>
  <c r="G350" i="49"/>
  <c r="G351" i="49"/>
  <c r="G352" i="49"/>
  <c r="G353" i="49"/>
  <c r="G354" i="49"/>
  <c r="G355" i="49"/>
  <c r="G356" i="49"/>
  <c r="G357" i="49"/>
  <c r="G358" i="49"/>
  <c r="G359" i="49"/>
  <c r="G360" i="49"/>
  <c r="G361" i="49"/>
  <c r="G362" i="49"/>
  <c r="G363" i="49"/>
  <c r="G364" i="49"/>
  <c r="G365" i="49"/>
  <c r="G366" i="49"/>
  <c r="G367" i="49"/>
  <c r="G368" i="49"/>
  <c r="G369" i="49"/>
  <c r="G370" i="49"/>
  <c r="G371" i="49"/>
  <c r="G372" i="49"/>
  <c r="G373" i="49"/>
  <c r="G374" i="49"/>
  <c r="G375" i="49"/>
  <c r="G376" i="49"/>
  <c r="G377" i="49"/>
  <c r="G378" i="49"/>
  <c r="G379" i="49"/>
  <c r="G380" i="49"/>
  <c r="G381" i="49"/>
  <c r="G382" i="49"/>
  <c r="G383" i="49"/>
  <c r="G384" i="49"/>
  <c r="G385" i="49"/>
  <c r="G386" i="49"/>
  <c r="G387" i="49"/>
  <c r="G388" i="49"/>
  <c r="G389" i="49"/>
  <c r="G390" i="49"/>
  <c r="G391" i="49"/>
  <c r="G392" i="49"/>
  <c r="G393" i="49"/>
  <c r="G394" i="49"/>
  <c r="G395" i="49"/>
  <c r="G396" i="49"/>
  <c r="G397" i="49"/>
  <c r="G398" i="49"/>
  <c r="G399" i="49"/>
  <c r="G400" i="49"/>
  <c r="G401" i="49"/>
  <c r="G402" i="49"/>
  <c r="G403" i="49"/>
  <c r="G404" i="49"/>
  <c r="G405" i="49"/>
  <c r="G406" i="49"/>
  <c r="G407" i="49"/>
  <c r="G408" i="49"/>
  <c r="G409" i="49"/>
  <c r="G410" i="49"/>
  <c r="G411" i="49"/>
  <c r="G412" i="49"/>
  <c r="G413" i="49"/>
  <c r="G414" i="49"/>
  <c r="G415" i="49"/>
  <c r="G416" i="49"/>
  <c r="G417" i="49"/>
  <c r="G418" i="49"/>
  <c r="G419" i="49"/>
  <c r="G420" i="49"/>
  <c r="G421" i="49"/>
  <c r="G422" i="49"/>
  <c r="G423" i="49"/>
  <c r="G424" i="49"/>
  <c r="G425" i="49"/>
  <c r="G426" i="49"/>
  <c r="G427" i="49"/>
  <c r="G428" i="49"/>
  <c r="G429" i="49"/>
  <c r="G430" i="49"/>
  <c r="G431" i="49"/>
  <c r="G432" i="49"/>
  <c r="G433" i="49"/>
  <c r="G434" i="49"/>
  <c r="G435" i="49"/>
  <c r="G436" i="49"/>
  <c r="G437" i="49"/>
  <c r="G438" i="49"/>
  <c r="G439" i="49"/>
  <c r="G440" i="49"/>
  <c r="G441" i="49"/>
  <c r="G442" i="49"/>
  <c r="G443" i="49"/>
  <c r="G444" i="49"/>
  <c r="G445" i="49"/>
  <c r="G446" i="49"/>
  <c r="G447" i="49"/>
  <c r="G448" i="49"/>
  <c r="G449" i="49"/>
  <c r="G450" i="49"/>
  <c r="G451" i="49"/>
  <c r="G452" i="49"/>
  <c r="G453" i="49"/>
  <c r="G454" i="49"/>
  <c r="G455" i="49"/>
  <c r="G456" i="49"/>
  <c r="G457" i="49"/>
  <c r="G458" i="49"/>
  <c r="G459" i="49"/>
  <c r="G460" i="49"/>
  <c r="G461" i="49"/>
  <c r="G462" i="49"/>
  <c r="G463" i="49"/>
  <c r="G464" i="49"/>
  <c r="G465" i="49"/>
  <c r="G466" i="49"/>
  <c r="G467" i="49"/>
  <c r="G468" i="49"/>
  <c r="G469" i="49"/>
  <c r="G470" i="49"/>
  <c r="G471" i="49"/>
  <c r="G472" i="49"/>
  <c r="G473" i="49"/>
  <c r="G474" i="49"/>
  <c r="G475" i="49"/>
  <c r="G476" i="49"/>
  <c r="G477" i="49"/>
  <c r="G478" i="49"/>
  <c r="G479" i="49"/>
  <c r="G480" i="49"/>
  <c r="G481" i="49"/>
  <c r="G482" i="49"/>
  <c r="G483" i="49"/>
  <c r="G484" i="49"/>
  <c r="G485" i="49"/>
  <c r="G486" i="49"/>
  <c r="G487" i="49"/>
  <c r="G488" i="49"/>
  <c r="G489" i="49"/>
  <c r="G490" i="49"/>
  <c r="G491" i="49"/>
  <c r="G492" i="49"/>
  <c r="G493" i="49"/>
  <c r="G494" i="49"/>
  <c r="G495" i="49"/>
  <c r="G496" i="49"/>
  <c r="G497" i="49"/>
  <c r="G498" i="49"/>
  <c r="G499" i="49"/>
  <c r="G500" i="49"/>
  <c r="G501" i="49"/>
  <c r="G502" i="49"/>
  <c r="G503" i="49"/>
  <c r="G504" i="49"/>
  <c r="G505" i="49"/>
  <c r="G506" i="49"/>
  <c r="G507" i="49"/>
  <c r="G508" i="49"/>
  <c r="G509" i="49"/>
  <c r="G510" i="49"/>
  <c r="G511" i="49"/>
  <c r="G512" i="49"/>
  <c r="G513" i="49"/>
  <c r="G514" i="49"/>
  <c r="G515" i="49"/>
  <c r="G516" i="49"/>
  <c r="G517" i="49"/>
  <c r="G518" i="49"/>
  <c r="G519" i="49"/>
  <c r="G520" i="49"/>
  <c r="G521" i="49"/>
  <c r="G522" i="49"/>
  <c r="G523" i="49"/>
  <c r="G524" i="49"/>
  <c r="G525" i="49"/>
  <c r="G526" i="49"/>
  <c r="G527" i="49"/>
  <c r="G528" i="49"/>
  <c r="G529" i="49"/>
  <c r="G530" i="49"/>
  <c r="G531" i="49"/>
  <c r="G532" i="49"/>
  <c r="G533" i="49"/>
  <c r="G534" i="49"/>
  <c r="G535" i="49"/>
  <c r="G536" i="49"/>
  <c r="G537" i="49"/>
  <c r="G538" i="49"/>
  <c r="G539" i="49"/>
  <c r="G540" i="49"/>
  <c r="G541" i="49"/>
  <c r="G542" i="49"/>
  <c r="G543" i="49"/>
  <c r="G544" i="49"/>
  <c r="G545" i="49"/>
  <c r="G546" i="49"/>
  <c r="G547" i="49"/>
  <c r="G548" i="49"/>
  <c r="G549" i="49"/>
  <c r="G550" i="49"/>
  <c r="G551" i="49"/>
  <c r="G552" i="49"/>
  <c r="G553" i="49"/>
  <c r="G554" i="49"/>
  <c r="G555" i="49"/>
  <c r="G556" i="49"/>
  <c r="G557" i="49"/>
  <c r="G558" i="49"/>
  <c r="G559" i="49"/>
  <c r="G560" i="49"/>
  <c r="G561" i="49"/>
  <c r="G562" i="49"/>
  <c r="G563" i="49"/>
  <c r="G564" i="49"/>
  <c r="G565" i="49"/>
  <c r="G566" i="49"/>
  <c r="G567" i="49"/>
  <c r="G568" i="49"/>
  <c r="G569" i="49"/>
  <c r="G570" i="49"/>
  <c r="G571" i="49"/>
  <c r="G572" i="49"/>
  <c r="G573" i="49"/>
  <c r="G574" i="49"/>
  <c r="G575" i="49"/>
  <c r="G576" i="49"/>
  <c r="G577" i="49"/>
  <c r="G578" i="49"/>
  <c r="G579" i="49"/>
  <c r="G580" i="49"/>
  <c r="G581" i="49"/>
  <c r="G582" i="49"/>
  <c r="G583" i="49"/>
  <c r="G584" i="49"/>
  <c r="G585" i="49"/>
  <c r="G586" i="49"/>
  <c r="G587" i="49"/>
  <c r="G588" i="49"/>
  <c r="G589" i="49"/>
  <c r="G590" i="49"/>
  <c r="G591" i="49"/>
  <c r="G592" i="49"/>
  <c r="G593" i="49"/>
  <c r="G594" i="49"/>
  <c r="G595" i="49"/>
  <c r="G596" i="49"/>
  <c r="G597" i="49"/>
  <c r="G598" i="49"/>
  <c r="G599" i="49"/>
  <c r="G600" i="49"/>
  <c r="G601" i="49"/>
  <c r="G602" i="49"/>
  <c r="G603" i="49"/>
  <c r="G604" i="49"/>
  <c r="G605" i="49"/>
  <c r="G606" i="49"/>
  <c r="G607" i="49"/>
  <c r="G608" i="49"/>
  <c r="G609" i="49"/>
  <c r="G610" i="49"/>
  <c r="G611" i="49"/>
  <c r="G612" i="49"/>
  <c r="G613" i="49"/>
  <c r="G614" i="49"/>
  <c r="G615" i="49"/>
  <c r="G616" i="49"/>
  <c r="G617" i="49"/>
  <c r="G618" i="49"/>
  <c r="G619" i="49"/>
  <c r="G620" i="49"/>
  <c r="G621" i="49"/>
  <c r="G622" i="49"/>
  <c r="G623" i="49"/>
  <c r="G624" i="49"/>
  <c r="G625" i="49"/>
  <c r="G626" i="49"/>
  <c r="G627" i="49"/>
  <c r="G628" i="49"/>
  <c r="G629" i="49"/>
  <c r="G630" i="49"/>
  <c r="G631" i="49"/>
  <c r="G632" i="49"/>
  <c r="G633" i="49"/>
  <c r="G634" i="49"/>
  <c r="G635" i="49"/>
  <c r="G636" i="49"/>
  <c r="G637" i="49"/>
  <c r="G638" i="49"/>
  <c r="G639" i="49"/>
  <c r="G640" i="49"/>
  <c r="G641" i="49"/>
  <c r="G642" i="49"/>
  <c r="G643" i="49"/>
  <c r="G644" i="49"/>
  <c r="G645" i="49"/>
  <c r="G646" i="49"/>
  <c r="G647" i="49"/>
  <c r="G648" i="49"/>
  <c r="G649" i="49"/>
  <c r="G650" i="49"/>
  <c r="G651" i="49"/>
  <c r="G652" i="49"/>
  <c r="G653" i="49"/>
  <c r="G654" i="49"/>
  <c r="G655" i="49"/>
  <c r="G656" i="49"/>
  <c r="G657" i="49"/>
  <c r="G658" i="49"/>
  <c r="G659" i="49"/>
  <c r="G660" i="49"/>
  <c r="G661" i="49"/>
  <c r="G662" i="49"/>
  <c r="G663" i="49"/>
  <c r="G664" i="49"/>
  <c r="G665" i="49"/>
  <c r="G666" i="49"/>
  <c r="G667" i="49"/>
  <c r="G668" i="49"/>
  <c r="G669" i="49"/>
  <c r="G670" i="49"/>
  <c r="G671" i="49"/>
  <c r="G672" i="49"/>
  <c r="G673" i="49"/>
  <c r="G674" i="49"/>
  <c r="G675" i="49"/>
  <c r="G676" i="49"/>
  <c r="G677" i="49"/>
  <c r="G678" i="49"/>
  <c r="G679" i="49"/>
  <c r="G680" i="49"/>
  <c r="G681" i="49"/>
  <c r="G682" i="49"/>
  <c r="G683" i="49"/>
  <c r="G684" i="49"/>
  <c r="G685" i="49"/>
  <c r="G686" i="49"/>
  <c r="G687" i="49"/>
  <c r="G688" i="49"/>
  <c r="G689" i="49"/>
  <c r="G690" i="49"/>
  <c r="G691" i="49"/>
  <c r="G692" i="49"/>
  <c r="G693" i="49"/>
  <c r="G694" i="49"/>
  <c r="G695" i="49"/>
  <c r="G696" i="49"/>
  <c r="G697" i="49"/>
  <c r="G698" i="49"/>
  <c r="G699" i="49"/>
  <c r="G700" i="49"/>
  <c r="G701" i="49"/>
  <c r="G702" i="49"/>
  <c r="G703" i="49"/>
  <c r="G704" i="49"/>
  <c r="G705" i="49"/>
  <c r="G706" i="49"/>
  <c r="G707" i="49"/>
  <c r="G708" i="49"/>
  <c r="G709" i="49"/>
  <c r="G710" i="49"/>
  <c r="G711" i="49"/>
  <c r="G712" i="49"/>
  <c r="G713" i="49"/>
  <c r="G714" i="49"/>
  <c r="G715" i="49"/>
  <c r="G716" i="49"/>
  <c r="G717" i="49"/>
  <c r="G718" i="49"/>
  <c r="G719" i="49"/>
  <c r="G720" i="49"/>
  <c r="G721" i="49"/>
  <c r="G722" i="49"/>
  <c r="G723" i="49"/>
  <c r="G724" i="49"/>
  <c r="G725" i="49"/>
  <c r="G726" i="49"/>
  <c r="G727" i="49"/>
  <c r="G728" i="49"/>
  <c r="G729" i="49"/>
  <c r="G730" i="49"/>
  <c r="G731" i="49"/>
  <c r="G732" i="49"/>
  <c r="G733" i="49"/>
  <c r="G734" i="49"/>
  <c r="G735" i="49"/>
  <c r="G736" i="49"/>
  <c r="G737" i="49"/>
  <c r="G738" i="49"/>
  <c r="G739" i="49"/>
  <c r="G740" i="49"/>
  <c r="G741" i="49"/>
  <c r="G742" i="49"/>
  <c r="G743" i="49"/>
  <c r="G744" i="49"/>
  <c r="G745" i="49"/>
  <c r="G746" i="49"/>
  <c r="G747" i="49"/>
  <c r="G748" i="49"/>
  <c r="G749" i="49"/>
  <c r="G750" i="49"/>
  <c r="G751" i="49"/>
  <c r="G752" i="49"/>
  <c r="G753" i="49"/>
  <c r="G754" i="49"/>
  <c r="G755" i="49"/>
  <c r="G756" i="49"/>
  <c r="G757" i="49"/>
  <c r="G758" i="49"/>
  <c r="G759" i="49"/>
  <c r="G760" i="49"/>
  <c r="G761" i="49"/>
  <c r="G762" i="49"/>
  <c r="G763" i="49"/>
  <c r="G764" i="49"/>
  <c r="G765" i="49"/>
  <c r="G766" i="49"/>
  <c r="G767" i="49"/>
  <c r="G768" i="49"/>
  <c r="G769" i="49"/>
  <c r="G770" i="49"/>
  <c r="G771" i="49"/>
  <c r="G772" i="49"/>
  <c r="G773" i="49"/>
  <c r="G774" i="49"/>
  <c r="G775" i="49"/>
  <c r="G776" i="49"/>
  <c r="G777" i="49"/>
  <c r="G778" i="49"/>
  <c r="G779" i="49"/>
  <c r="G780" i="49"/>
  <c r="G781" i="49"/>
  <c r="G782" i="49"/>
  <c r="G783" i="49"/>
  <c r="G784" i="49"/>
  <c r="G785" i="49"/>
  <c r="G786" i="49"/>
  <c r="G787" i="49"/>
  <c r="G788" i="49"/>
  <c r="G789" i="49"/>
  <c r="G790" i="49"/>
  <c r="G791" i="49"/>
  <c r="G792" i="49"/>
  <c r="G793" i="49"/>
  <c r="G794" i="49"/>
  <c r="G795" i="49"/>
  <c r="G796" i="49"/>
  <c r="G797" i="49"/>
  <c r="G798" i="49"/>
  <c r="G799" i="49"/>
  <c r="G800" i="49"/>
  <c r="G801" i="49"/>
  <c r="G802" i="49"/>
  <c r="G803" i="49"/>
  <c r="G804" i="49"/>
  <c r="G805" i="49"/>
  <c r="G806" i="49"/>
  <c r="G807" i="49"/>
  <c r="G808" i="49"/>
  <c r="G809" i="49"/>
  <c r="G810" i="49"/>
  <c r="G811" i="49"/>
  <c r="G812" i="49"/>
  <c r="G813" i="49"/>
  <c r="G814" i="49"/>
  <c r="G815" i="49"/>
  <c r="G816" i="49"/>
  <c r="G817" i="49"/>
  <c r="G818" i="49"/>
  <c r="G819" i="49"/>
  <c r="G820" i="49"/>
  <c r="G821" i="49"/>
  <c r="G822" i="49"/>
  <c r="G823" i="49"/>
  <c r="G824" i="49"/>
  <c r="G825" i="49"/>
  <c r="G826" i="49"/>
  <c r="G827" i="49"/>
  <c r="G828" i="49"/>
  <c r="G829" i="49"/>
  <c r="G830" i="49"/>
  <c r="G831" i="49"/>
  <c r="G832" i="49"/>
  <c r="G833" i="49"/>
  <c r="G834" i="49"/>
  <c r="G835" i="49"/>
  <c r="G836" i="49"/>
  <c r="G837" i="49"/>
  <c r="G838" i="49"/>
  <c r="G839" i="49"/>
  <c r="G840" i="49"/>
  <c r="G841" i="49"/>
  <c r="G842" i="49"/>
  <c r="G843" i="49"/>
  <c r="G844" i="49"/>
  <c r="G845" i="49"/>
  <c r="G846" i="49"/>
  <c r="G847" i="49"/>
  <c r="G848" i="49"/>
  <c r="G849" i="49"/>
  <c r="G850" i="49"/>
  <c r="G851" i="49"/>
  <c r="G852" i="49"/>
  <c r="G853" i="49"/>
  <c r="G854" i="49"/>
  <c r="G855" i="49"/>
  <c r="G856" i="49"/>
  <c r="G857" i="49"/>
  <c r="G858" i="49"/>
  <c r="G859" i="49"/>
  <c r="G860" i="49"/>
  <c r="G861" i="49"/>
  <c r="G862" i="49"/>
  <c r="G863" i="49"/>
  <c r="G864" i="49"/>
  <c r="G865" i="49"/>
  <c r="G866" i="49"/>
  <c r="G867" i="49"/>
  <c r="G868" i="49"/>
  <c r="G869" i="49"/>
  <c r="G870" i="49"/>
  <c r="G871" i="49"/>
  <c r="G872" i="49"/>
  <c r="G873" i="49"/>
  <c r="G874" i="49"/>
  <c r="G875" i="49"/>
  <c r="G876" i="49"/>
  <c r="G877" i="49"/>
  <c r="G878" i="49"/>
  <c r="G879" i="49"/>
  <c r="G880" i="49"/>
  <c r="G881" i="49"/>
  <c r="G882" i="49"/>
  <c r="G883" i="49"/>
  <c r="G884" i="49"/>
  <c r="G885" i="49"/>
  <c r="G886" i="49"/>
  <c r="G887" i="49"/>
  <c r="G888" i="49"/>
  <c r="G889" i="49"/>
  <c r="G890" i="49"/>
  <c r="G891" i="49"/>
  <c r="G892" i="49"/>
  <c r="G893" i="49"/>
  <c r="G894" i="49"/>
  <c r="G895" i="49"/>
  <c r="G896" i="49"/>
  <c r="G897" i="49"/>
  <c r="G898" i="49"/>
  <c r="G899" i="49"/>
  <c r="G900" i="49"/>
  <c r="G901" i="49"/>
  <c r="G902" i="49"/>
  <c r="G903" i="49"/>
  <c r="G904" i="49"/>
  <c r="G905" i="49"/>
  <c r="G906" i="49"/>
  <c r="G907" i="49"/>
  <c r="G908" i="49"/>
  <c r="G909" i="49"/>
  <c r="G910" i="49"/>
  <c r="G911" i="49"/>
  <c r="G912" i="49"/>
  <c r="G913" i="49"/>
  <c r="G914" i="49"/>
  <c r="G915" i="49"/>
  <c r="G916" i="49"/>
  <c r="G917" i="49"/>
  <c r="G918" i="49"/>
  <c r="G919" i="49"/>
  <c r="G920" i="49"/>
  <c r="G921" i="49"/>
  <c r="G922" i="49"/>
  <c r="G923" i="49"/>
  <c r="G924" i="49"/>
  <c r="G925" i="49"/>
  <c r="G926" i="49"/>
  <c r="G927" i="49"/>
  <c r="G928" i="49"/>
  <c r="G929" i="49"/>
  <c r="G930" i="49"/>
  <c r="G931" i="49"/>
  <c r="G932" i="49"/>
  <c r="G933" i="49"/>
  <c r="G934" i="49"/>
  <c r="G935" i="49"/>
  <c r="G936" i="49"/>
  <c r="G937" i="49"/>
  <c r="G938" i="49"/>
  <c r="G939" i="49"/>
  <c r="G940" i="49"/>
  <c r="G941" i="49"/>
  <c r="G942" i="49"/>
  <c r="G943" i="49"/>
  <c r="G944" i="49"/>
  <c r="G945" i="49"/>
  <c r="G946" i="49"/>
  <c r="G947" i="49"/>
  <c r="G948" i="49"/>
  <c r="G949" i="49"/>
  <c r="G950" i="49"/>
  <c r="G951" i="49"/>
  <c r="G952" i="49"/>
  <c r="G953" i="49"/>
  <c r="G954" i="49"/>
  <c r="G955" i="49"/>
  <c r="G956" i="49"/>
  <c r="G957" i="49"/>
  <c r="G958" i="49"/>
  <c r="G959" i="49"/>
  <c r="G960" i="49"/>
  <c r="G961" i="49"/>
  <c r="G962" i="49"/>
  <c r="G963" i="49"/>
  <c r="G964" i="49"/>
  <c r="G965" i="49"/>
  <c r="G966" i="49"/>
  <c r="G967" i="49"/>
  <c r="G968" i="49"/>
  <c r="G969" i="49"/>
  <c r="G970" i="49"/>
  <c r="G971" i="49"/>
  <c r="G972" i="49"/>
  <c r="G973" i="49"/>
  <c r="G974" i="49"/>
  <c r="G975" i="49"/>
  <c r="G976" i="49"/>
  <c r="G977" i="49"/>
  <c r="G978" i="49"/>
  <c r="G979" i="49"/>
  <c r="G980" i="49"/>
  <c r="G981" i="49"/>
  <c r="G982" i="49"/>
  <c r="G983" i="49"/>
  <c r="G984" i="49"/>
  <c r="G985" i="49"/>
  <c r="G986" i="49"/>
  <c r="G987" i="49"/>
  <c r="G988" i="49"/>
  <c r="G989" i="49"/>
  <c r="G990" i="49"/>
  <c r="G991" i="49"/>
  <c r="G992" i="49"/>
  <c r="G993" i="49"/>
  <c r="G994" i="49"/>
  <c r="G995" i="49"/>
  <c r="G996" i="49"/>
  <c r="G997" i="49"/>
  <c r="G998" i="49"/>
  <c r="G999" i="49"/>
  <c r="G1000" i="49"/>
  <c r="G1001" i="49"/>
  <c r="G1002" i="49"/>
  <c r="G1003" i="49"/>
  <c r="G1004" i="49"/>
  <c r="G1005" i="49"/>
  <c r="G1006" i="49"/>
  <c r="G1007" i="49"/>
  <c r="G1008" i="49"/>
  <c r="G1009" i="49"/>
  <c r="G1010" i="49"/>
  <c r="G1011" i="49"/>
  <c r="G1012" i="49"/>
  <c r="G1013" i="49"/>
  <c r="G1014" i="49"/>
  <c r="G1015" i="49"/>
  <c r="G1016" i="49"/>
  <c r="G1017" i="49"/>
  <c r="G1018" i="49"/>
  <c r="G1019" i="49"/>
  <c r="G1020" i="49"/>
  <c r="G1021" i="49"/>
  <c r="G1022" i="49"/>
  <c r="G1023" i="49"/>
  <c r="G1024" i="49"/>
  <c r="G1025" i="49"/>
  <c r="G1026" i="49"/>
  <c r="G1027" i="49"/>
  <c r="G1028" i="49"/>
  <c r="G1029" i="49"/>
  <c r="G1030" i="49"/>
  <c r="G1031" i="49"/>
  <c r="G1032" i="49"/>
  <c r="G1033" i="49"/>
  <c r="G1034" i="49"/>
  <c r="G1035" i="49"/>
  <c r="G1036" i="49"/>
  <c r="G1037" i="49"/>
  <c r="G1038" i="49"/>
  <c r="G1039" i="49"/>
  <c r="G1040" i="49"/>
  <c r="G1041" i="49"/>
  <c r="G1042" i="49"/>
  <c r="G1043" i="49"/>
  <c r="G1044" i="49"/>
  <c r="G1045" i="49"/>
  <c r="G1046" i="49"/>
  <c r="G1047" i="49"/>
  <c r="G1048" i="49"/>
  <c r="G1049" i="49"/>
  <c r="G1050" i="49"/>
  <c r="G1051" i="49"/>
  <c r="G1052" i="49"/>
  <c r="G1053" i="49"/>
  <c r="G1054" i="49"/>
  <c r="G1055" i="49"/>
  <c r="G1056" i="49"/>
  <c r="G1057" i="49"/>
  <c r="G1058" i="49"/>
  <c r="G1059" i="49"/>
  <c r="G1060" i="49"/>
  <c r="G1061" i="49"/>
  <c r="G1062" i="49"/>
  <c r="G1063" i="49"/>
  <c r="G1064" i="49"/>
  <c r="G1065" i="49"/>
  <c r="G1066" i="49"/>
  <c r="G1067" i="49"/>
  <c r="G1068" i="49"/>
  <c r="G1069" i="49"/>
  <c r="G1070" i="49"/>
  <c r="G1071" i="49"/>
  <c r="G1072" i="49"/>
  <c r="G1073" i="49"/>
  <c r="G1074" i="49"/>
  <c r="G1075" i="49"/>
  <c r="G1076" i="49"/>
  <c r="G1077" i="49"/>
  <c r="G1078" i="49"/>
  <c r="G1079" i="49"/>
  <c r="G1080" i="49"/>
  <c r="G1081" i="49"/>
  <c r="G1082" i="49"/>
  <c r="G1083" i="49"/>
  <c r="G1084" i="49"/>
  <c r="G1085" i="49"/>
  <c r="G1086" i="49"/>
  <c r="G1087" i="49"/>
  <c r="G1088" i="49"/>
  <c r="G1089" i="49"/>
  <c r="G1090" i="49"/>
  <c r="G1091" i="49"/>
  <c r="G1092" i="49"/>
  <c r="G1093" i="49"/>
  <c r="G1094" i="49"/>
  <c r="G1095" i="49"/>
  <c r="G1096" i="49"/>
  <c r="G1097" i="49"/>
  <c r="G1098" i="49"/>
  <c r="G1099" i="49"/>
  <c r="G1100" i="49"/>
  <c r="G1101" i="49"/>
  <c r="G1102" i="49"/>
  <c r="G1103" i="49"/>
  <c r="G1104" i="49"/>
  <c r="G1105" i="49"/>
  <c r="G1106" i="49"/>
  <c r="G1107" i="49"/>
  <c r="G1108" i="49"/>
  <c r="G1109" i="49"/>
  <c r="G1110" i="49"/>
  <c r="G1111" i="49"/>
  <c r="G1112" i="49"/>
  <c r="G1113" i="49"/>
  <c r="G1114" i="49"/>
  <c r="G1115" i="49"/>
  <c r="G1116" i="49"/>
  <c r="G1117" i="49"/>
  <c r="G1118" i="49"/>
  <c r="G1119" i="49"/>
  <c r="G1120" i="49"/>
  <c r="G1121" i="49"/>
  <c r="G1122" i="49"/>
  <c r="G1123" i="49"/>
  <c r="G1124" i="49"/>
  <c r="G1125" i="49"/>
  <c r="G1126" i="49"/>
  <c r="G1127" i="49"/>
  <c r="G1128" i="49"/>
  <c r="G1129" i="49"/>
  <c r="G1130" i="49"/>
  <c r="G1131" i="49"/>
  <c r="G1132" i="49"/>
  <c r="G1133" i="49"/>
  <c r="G1134" i="49"/>
  <c r="G1135" i="49"/>
  <c r="G1136" i="49"/>
  <c r="G1137" i="49"/>
  <c r="G1138" i="49"/>
  <c r="G1139" i="49"/>
  <c r="G1140" i="49"/>
  <c r="G1141" i="49"/>
  <c r="G1142" i="49"/>
  <c r="G1143" i="49"/>
  <c r="G1144" i="49"/>
  <c r="G1145" i="49"/>
  <c r="G1146" i="49"/>
  <c r="G1147" i="49"/>
  <c r="G1148" i="49"/>
  <c r="G1149" i="49"/>
  <c r="G1150" i="49"/>
  <c r="G1151" i="49"/>
  <c r="G1152" i="49"/>
  <c r="G1153" i="49"/>
  <c r="G1154" i="49"/>
  <c r="G1155" i="49"/>
  <c r="G1156" i="49"/>
  <c r="G1157" i="49"/>
  <c r="G1158" i="49"/>
  <c r="G1159" i="49"/>
  <c r="G1160" i="49"/>
  <c r="G1161" i="49"/>
  <c r="G1162" i="49"/>
  <c r="G1163" i="49"/>
  <c r="G1164" i="49"/>
  <c r="G1165" i="49"/>
  <c r="G1166" i="49"/>
  <c r="G1167" i="49"/>
  <c r="G1168" i="49"/>
  <c r="G1169" i="49"/>
  <c r="G1170" i="49"/>
  <c r="G1171" i="49"/>
  <c r="G1172" i="49"/>
  <c r="G1173" i="49"/>
  <c r="G1174" i="49"/>
  <c r="G1175" i="49"/>
  <c r="G1176" i="49"/>
  <c r="G1177" i="49"/>
  <c r="G1178" i="49"/>
  <c r="G1179" i="49"/>
  <c r="G1180" i="49"/>
  <c r="G1181" i="49"/>
  <c r="G1182" i="49"/>
  <c r="G1183" i="49"/>
  <c r="G1184" i="49"/>
  <c r="G1185" i="49"/>
  <c r="G1186" i="49"/>
  <c r="G1187" i="49"/>
  <c r="G1188" i="49"/>
  <c r="G1189" i="49"/>
  <c r="G1190" i="49"/>
  <c r="G1191" i="49"/>
  <c r="G1192" i="49"/>
  <c r="G1193" i="49"/>
  <c r="G1194" i="49"/>
  <c r="G1195" i="49"/>
  <c r="G1196" i="49"/>
  <c r="G1197" i="49"/>
  <c r="G1198" i="49"/>
  <c r="G1199" i="49"/>
  <c r="G1200" i="49"/>
  <c r="G1201" i="49"/>
  <c r="G1202" i="49"/>
  <c r="G1203" i="49"/>
  <c r="G1204" i="49"/>
  <c r="G1205" i="49"/>
  <c r="G1206" i="49"/>
  <c r="G1207" i="49"/>
  <c r="G1208" i="49"/>
  <c r="G1209" i="49"/>
  <c r="G1210" i="49"/>
  <c r="G1211" i="49"/>
  <c r="G1212" i="49"/>
  <c r="G1213" i="49"/>
  <c r="G1214" i="49"/>
  <c r="G1215" i="49"/>
  <c r="G1216" i="49"/>
  <c r="G1217" i="49"/>
  <c r="G1218" i="49"/>
  <c r="G1219" i="49"/>
  <c r="G1220" i="49"/>
  <c r="G1221" i="49"/>
  <c r="G1222" i="49"/>
  <c r="G1223" i="49"/>
  <c r="G1224" i="49"/>
  <c r="G1225" i="49"/>
  <c r="G1226" i="49"/>
  <c r="G1227" i="49"/>
  <c r="G1228" i="49"/>
  <c r="G1229" i="49"/>
  <c r="G1230" i="49"/>
  <c r="G1231" i="49"/>
  <c r="G1232" i="49"/>
  <c r="G1233" i="49"/>
  <c r="G1234" i="49"/>
  <c r="G1235" i="49"/>
  <c r="G1236" i="49"/>
  <c r="G1237" i="49"/>
  <c r="G1238" i="49"/>
  <c r="G1239" i="49"/>
  <c r="G1240" i="49"/>
  <c r="G1241" i="49"/>
  <c r="G1242" i="49"/>
  <c r="G1243" i="49"/>
  <c r="G1244" i="49"/>
  <c r="G1245" i="49"/>
  <c r="G1246" i="49"/>
  <c r="G1247" i="49"/>
  <c r="G1248" i="49"/>
  <c r="G1249" i="49"/>
  <c r="G1250" i="49"/>
  <c r="G1251" i="49"/>
  <c r="G1252" i="49"/>
  <c r="G1253" i="49"/>
  <c r="G1254" i="49"/>
  <c r="G1255" i="49"/>
  <c r="G1256" i="49"/>
  <c r="G1257" i="49"/>
  <c r="G1258" i="49"/>
  <c r="G1259" i="49"/>
  <c r="G1260" i="49"/>
  <c r="G1261" i="49"/>
  <c r="G1262" i="49"/>
  <c r="G1263" i="49"/>
  <c r="G1264" i="49"/>
  <c r="G1265" i="49"/>
  <c r="G1266" i="49"/>
  <c r="G1267" i="49"/>
  <c r="G1268" i="49"/>
  <c r="G1269" i="49"/>
  <c r="G1270" i="49"/>
  <c r="G1271" i="49"/>
  <c r="G1272" i="49"/>
  <c r="G1273" i="49"/>
  <c r="G1274" i="49"/>
  <c r="G1275" i="49"/>
  <c r="G1276" i="49"/>
  <c r="G1277" i="49"/>
  <c r="G1278" i="49"/>
  <c r="G1279" i="49"/>
  <c r="G1280" i="49"/>
  <c r="G1281" i="49"/>
  <c r="G1282" i="49"/>
  <c r="G1283" i="49"/>
  <c r="G1284" i="49"/>
  <c r="G1285" i="49"/>
  <c r="G1286" i="49"/>
  <c r="G1287" i="49"/>
  <c r="G1288" i="49"/>
  <c r="G1289" i="49"/>
  <c r="G1290" i="49"/>
  <c r="G1291" i="49"/>
  <c r="G1292" i="49"/>
  <c r="G1293" i="49"/>
  <c r="G1294" i="49"/>
  <c r="G1295" i="49"/>
  <c r="G1296" i="49"/>
  <c r="G1297" i="49"/>
  <c r="G1298" i="49"/>
  <c r="G1299" i="49"/>
  <c r="G1300" i="49"/>
  <c r="G1301" i="49"/>
  <c r="G1302" i="49"/>
  <c r="G1303" i="49"/>
  <c r="G1304" i="49"/>
  <c r="G1305" i="49"/>
  <c r="G1306" i="49"/>
  <c r="G1307" i="49"/>
  <c r="G1308" i="49"/>
  <c r="G1309" i="49"/>
  <c r="G1310" i="49"/>
  <c r="G1311" i="49"/>
  <c r="G1312" i="49"/>
  <c r="G1313" i="49"/>
  <c r="G1314" i="49"/>
  <c r="G1315" i="49"/>
  <c r="G1316" i="49"/>
  <c r="G1317" i="49"/>
  <c r="G1318" i="49"/>
  <c r="G1319" i="49"/>
  <c r="G1320" i="49"/>
  <c r="G1321" i="49"/>
  <c r="G1322" i="49"/>
  <c r="G1323" i="49"/>
  <c r="G1324" i="49"/>
  <c r="G1325" i="49"/>
  <c r="G1326" i="49"/>
  <c r="G1327" i="49"/>
  <c r="G1328" i="49"/>
  <c r="G1329" i="49"/>
  <c r="G1330" i="49"/>
  <c r="G1331" i="49"/>
  <c r="G1332" i="49"/>
  <c r="G1333" i="49"/>
  <c r="G1334" i="49"/>
  <c r="G1335" i="49"/>
  <c r="G1336" i="49"/>
  <c r="G1337" i="49"/>
  <c r="G1338" i="49"/>
  <c r="G1339" i="49"/>
  <c r="G1340" i="49"/>
  <c r="G1341" i="49"/>
  <c r="G1342" i="49"/>
  <c r="G1343" i="49"/>
  <c r="G1344" i="49"/>
  <c r="G1345" i="49"/>
  <c r="G1346" i="49"/>
  <c r="G1347" i="49"/>
  <c r="G1348" i="49"/>
  <c r="G1349" i="49"/>
  <c r="G1350" i="49"/>
  <c r="G1351" i="49"/>
  <c r="G1352" i="49"/>
  <c r="G1353" i="49"/>
  <c r="G1354" i="49"/>
  <c r="G1355" i="49"/>
  <c r="G1356" i="49"/>
  <c r="G1357" i="49"/>
  <c r="G1358" i="49"/>
  <c r="G1359" i="49"/>
  <c r="G1360" i="49"/>
  <c r="G1361" i="49"/>
  <c r="G1362" i="49"/>
  <c r="G1363" i="49"/>
  <c r="G1364" i="49"/>
  <c r="G1365" i="49"/>
  <c r="G1366" i="49"/>
  <c r="G1367" i="49"/>
  <c r="G1368" i="49"/>
  <c r="G1369" i="49"/>
  <c r="G1370" i="49"/>
  <c r="G1371" i="49"/>
  <c r="G1372" i="49"/>
  <c r="G1373" i="49"/>
  <c r="G1374" i="49"/>
  <c r="G1375" i="49"/>
  <c r="G1376" i="49"/>
  <c r="G1377" i="49"/>
  <c r="G1378" i="49"/>
  <c r="G1379" i="49"/>
  <c r="G1380" i="49"/>
  <c r="G1381" i="49"/>
  <c r="G1382" i="49"/>
  <c r="G1383" i="49"/>
  <c r="G1384" i="49"/>
  <c r="G1385" i="49"/>
  <c r="G1386" i="49"/>
  <c r="G1387" i="49"/>
  <c r="G1388" i="49"/>
  <c r="G1389" i="49"/>
  <c r="G1390" i="49"/>
  <c r="G1391" i="49"/>
  <c r="G1392" i="49"/>
  <c r="G1393" i="49"/>
  <c r="G1394" i="49"/>
  <c r="G1395" i="49"/>
  <c r="G1396" i="49"/>
  <c r="G1397" i="49"/>
  <c r="G1398" i="49"/>
  <c r="G1399" i="49"/>
  <c r="G1400" i="49"/>
  <c r="G1401" i="49"/>
  <c r="G1402" i="49"/>
  <c r="G1403" i="49"/>
  <c r="G1404" i="49"/>
  <c r="G1405" i="49"/>
  <c r="G1406" i="49"/>
  <c r="G1407" i="49"/>
  <c r="G1408" i="49"/>
  <c r="G1409" i="49"/>
  <c r="G1410" i="49"/>
  <c r="G1411" i="49"/>
  <c r="G1412" i="49"/>
  <c r="G1413" i="49"/>
  <c r="G1414" i="49"/>
  <c r="G1415" i="49"/>
  <c r="G1416" i="49"/>
  <c r="G1417" i="49"/>
  <c r="G1418" i="49"/>
  <c r="G1419" i="49"/>
  <c r="G1420" i="49"/>
  <c r="G1421" i="49"/>
  <c r="G1422" i="49"/>
  <c r="G1423" i="49"/>
  <c r="G1424" i="49"/>
  <c r="G1425" i="49"/>
  <c r="G1426" i="49"/>
  <c r="G1427" i="49"/>
  <c r="G1428" i="49"/>
  <c r="G1429" i="49"/>
  <c r="G1430" i="49"/>
  <c r="G1431" i="49"/>
  <c r="G1432" i="49"/>
  <c r="G1433" i="49"/>
  <c r="G1434" i="49"/>
  <c r="G1435" i="49"/>
  <c r="G1436" i="49"/>
  <c r="G1437" i="49"/>
  <c r="G1438" i="49"/>
  <c r="G1439" i="49"/>
  <c r="G1440" i="49"/>
  <c r="G1441" i="49"/>
  <c r="G1442" i="49"/>
  <c r="G1443" i="49"/>
  <c r="G1444" i="49"/>
  <c r="G1445" i="49"/>
  <c r="G1446" i="49"/>
  <c r="G1447" i="49"/>
  <c r="G1448" i="49"/>
  <c r="G1449" i="49"/>
  <c r="G1450" i="49"/>
  <c r="G1451" i="49"/>
  <c r="G1452" i="49"/>
  <c r="G1453" i="49"/>
  <c r="G1454" i="49"/>
  <c r="G1455" i="49"/>
  <c r="G1456" i="49"/>
  <c r="G1457" i="49"/>
  <c r="G1458" i="49"/>
  <c r="G1459" i="49"/>
  <c r="G1460" i="49"/>
  <c r="G1461" i="49"/>
  <c r="G1462" i="49"/>
  <c r="G1463" i="49"/>
  <c r="G1464" i="49"/>
  <c r="G1465" i="49"/>
  <c r="G1466" i="49"/>
  <c r="G1467" i="49"/>
  <c r="G1468" i="49"/>
  <c r="G1469" i="49"/>
  <c r="G1470" i="49"/>
  <c r="G2" i="49"/>
  <c r="D12" i="48"/>
  <c r="D4" i="48"/>
  <c r="D5" i="48"/>
  <c r="D6" i="48"/>
  <c r="D7" i="48"/>
  <c r="D8" i="48"/>
  <c r="D9" i="48"/>
  <c r="D10" i="48"/>
  <c r="D11" i="48"/>
  <c r="D13" i="48"/>
  <c r="D14" i="48"/>
  <c r="D15" i="48"/>
  <c r="D16" i="48"/>
  <c r="D17" i="48"/>
  <c r="D18" i="48"/>
  <c r="D19" i="48"/>
  <c r="D20" i="48"/>
  <c r="D21" i="48"/>
  <c r="D22" i="48"/>
  <c r="D23" i="48"/>
  <c r="D24" i="48"/>
  <c r="D25" i="48"/>
  <c r="D26" i="48"/>
  <c r="D27" i="48"/>
  <c r="D28" i="48"/>
  <c r="D29" i="48"/>
  <c r="D30" i="48"/>
  <c r="D31" i="48"/>
  <c r="D32" i="48"/>
  <c r="D33" i="48"/>
  <c r="D34" i="48"/>
  <c r="D35" i="48"/>
  <c r="D36" i="48"/>
  <c r="D37" i="48"/>
  <c r="D38" i="48"/>
  <c r="D39" i="48"/>
  <c r="D40" i="48"/>
  <c r="D41" i="48"/>
  <c r="D42" i="48"/>
  <c r="D43" i="48"/>
  <c r="D44" i="48"/>
  <c r="D45" i="48"/>
  <c r="D46" i="48"/>
  <c r="D47" i="48"/>
  <c r="D48" i="48"/>
  <c r="D49" i="48"/>
  <c r="D50" i="48"/>
  <c r="D51" i="48"/>
  <c r="D52" i="48"/>
  <c r="D53" i="48"/>
  <c r="D54" i="48"/>
  <c r="D55" i="48"/>
  <c r="D56" i="48"/>
  <c r="D57" i="48"/>
  <c r="D58" i="48"/>
  <c r="D59" i="48"/>
  <c r="D60" i="48"/>
  <c r="D61" i="48"/>
  <c r="D62" i="48"/>
  <c r="D63" i="48"/>
  <c r="D64" i="48"/>
  <c r="D65" i="48"/>
  <c r="D66" i="48"/>
  <c r="D67" i="48"/>
  <c r="D68" i="48"/>
  <c r="D69" i="48"/>
  <c r="D70" i="48"/>
  <c r="D71" i="48"/>
  <c r="D72" i="48"/>
  <c r="D73" i="48"/>
  <c r="D74" i="48"/>
  <c r="D75" i="48"/>
  <c r="D76" i="48"/>
  <c r="D77" i="48"/>
  <c r="D78" i="48"/>
  <c r="D79" i="48"/>
  <c r="D80" i="48"/>
  <c r="D81" i="48"/>
  <c r="D82" i="48"/>
  <c r="D83" i="48"/>
  <c r="D84" i="48"/>
  <c r="D85" i="48"/>
  <c r="D86" i="48"/>
  <c r="D87" i="48"/>
  <c r="D88" i="48"/>
  <c r="D89" i="48"/>
  <c r="D90" i="48"/>
  <c r="D91" i="48"/>
  <c r="D92" i="48"/>
  <c r="D93" i="48"/>
  <c r="D94" i="48"/>
  <c r="D95" i="48"/>
  <c r="D96" i="48"/>
  <c r="D97" i="48"/>
  <c r="D98" i="48"/>
  <c r="D99" i="48"/>
  <c r="D100" i="48"/>
  <c r="D101" i="48"/>
  <c r="D102" i="48"/>
  <c r="D103" i="48"/>
  <c r="D104" i="48"/>
  <c r="D105" i="48"/>
  <c r="D106" i="48"/>
  <c r="D107" i="48"/>
  <c r="D108" i="48"/>
  <c r="D109" i="48"/>
  <c r="D110" i="48"/>
  <c r="D111" i="48"/>
  <c r="D112" i="48"/>
  <c r="D113" i="48"/>
  <c r="D114" i="48"/>
  <c r="D115" i="48"/>
  <c r="D116" i="48"/>
  <c r="D117" i="48"/>
  <c r="D118" i="48"/>
  <c r="D119" i="48"/>
  <c r="D120" i="48"/>
  <c r="D121" i="48"/>
  <c r="D122" i="48"/>
  <c r="D123" i="48"/>
  <c r="D124" i="48"/>
  <c r="D125" i="48"/>
  <c r="D126" i="48"/>
  <c r="D127" i="48"/>
  <c r="D128" i="48"/>
  <c r="D129" i="48"/>
  <c r="D130" i="48"/>
  <c r="D131" i="48"/>
  <c r="D132" i="48"/>
  <c r="D133" i="48"/>
  <c r="D134" i="48"/>
  <c r="D135" i="48"/>
  <c r="D136" i="48"/>
  <c r="D137" i="48"/>
  <c r="D138" i="48"/>
  <c r="D139" i="48"/>
  <c r="D140" i="48"/>
  <c r="D141" i="48"/>
  <c r="D142" i="48"/>
  <c r="D143" i="48"/>
  <c r="D144" i="48"/>
  <c r="D145" i="48"/>
  <c r="D146" i="48"/>
  <c r="D147" i="48"/>
  <c r="D148" i="48"/>
  <c r="D149" i="48"/>
  <c r="D150" i="48"/>
  <c r="D151" i="48"/>
  <c r="D152" i="48"/>
  <c r="D153" i="48"/>
  <c r="D154" i="48"/>
  <c r="D155" i="48"/>
  <c r="D156" i="48"/>
  <c r="D157" i="48"/>
  <c r="D158" i="48"/>
  <c r="D159" i="48"/>
  <c r="D160" i="48"/>
  <c r="D161" i="48"/>
  <c r="D162" i="48"/>
  <c r="D163" i="48"/>
  <c r="D164" i="48"/>
  <c r="D165" i="48"/>
  <c r="D166" i="48"/>
  <c r="D167" i="48"/>
  <c r="D168" i="48"/>
  <c r="D169" i="48"/>
  <c r="D170" i="48"/>
  <c r="D171" i="48"/>
  <c r="D172" i="48"/>
  <c r="D173" i="48"/>
  <c r="D174" i="48"/>
  <c r="D175" i="48"/>
  <c r="D176" i="48"/>
  <c r="D177" i="48"/>
  <c r="D178" i="48"/>
  <c r="D179" i="48"/>
  <c r="D180" i="48"/>
  <c r="D181" i="48"/>
  <c r="D182" i="48"/>
  <c r="D183" i="48"/>
  <c r="D184" i="48"/>
  <c r="D185" i="48"/>
  <c r="D186" i="48"/>
  <c r="D187" i="48"/>
  <c r="D188" i="48"/>
  <c r="D189" i="48"/>
  <c r="D190" i="48"/>
  <c r="D191" i="48"/>
  <c r="D192" i="48"/>
  <c r="D193" i="48"/>
  <c r="D194" i="48"/>
  <c r="D195" i="48"/>
  <c r="D196" i="48"/>
  <c r="D197" i="48"/>
  <c r="D198" i="48"/>
  <c r="D199" i="48"/>
  <c r="D200" i="48"/>
  <c r="D201" i="48"/>
  <c r="D202" i="48"/>
  <c r="D203" i="48"/>
  <c r="D204" i="48"/>
  <c r="D205" i="48"/>
  <c r="D206" i="48"/>
  <c r="D207" i="48"/>
  <c r="D208" i="48"/>
  <c r="D209" i="48"/>
  <c r="D210" i="48"/>
  <c r="D211" i="48"/>
  <c r="D212" i="48"/>
  <c r="D213" i="48"/>
  <c r="D214" i="48"/>
  <c r="D215" i="48"/>
  <c r="D216" i="48"/>
  <c r="D217" i="48"/>
  <c r="D218" i="48"/>
  <c r="D219" i="48"/>
  <c r="D220" i="48"/>
  <c r="D221" i="48"/>
  <c r="D222" i="48"/>
  <c r="D223" i="48"/>
  <c r="D224" i="48"/>
  <c r="D225" i="48"/>
  <c r="D226" i="48"/>
  <c r="D227" i="48"/>
  <c r="D228" i="48"/>
  <c r="D229" i="48"/>
  <c r="D230" i="48"/>
  <c r="D231" i="48"/>
  <c r="D232" i="48"/>
  <c r="D233" i="48"/>
  <c r="D234" i="48"/>
  <c r="D235" i="48"/>
  <c r="D236" i="48"/>
  <c r="D237" i="48"/>
  <c r="D238" i="48"/>
  <c r="D239" i="48"/>
  <c r="D240" i="48"/>
  <c r="D241" i="48"/>
  <c r="D242" i="48"/>
  <c r="D243" i="48"/>
  <c r="D244" i="48"/>
  <c r="D245" i="48"/>
  <c r="D246" i="48"/>
  <c r="D247" i="48"/>
  <c r="D248" i="48"/>
  <c r="D249" i="48"/>
  <c r="D250" i="48"/>
  <c r="D251" i="48"/>
  <c r="D252" i="48"/>
  <c r="D253" i="48"/>
  <c r="D254" i="48"/>
  <c r="D255" i="48"/>
  <c r="D256" i="48"/>
  <c r="D257" i="48"/>
  <c r="D258" i="48"/>
  <c r="D259" i="48"/>
  <c r="D260" i="48"/>
  <c r="D261" i="48"/>
  <c r="D262" i="48"/>
  <c r="D263" i="48"/>
  <c r="D264" i="48"/>
  <c r="D265" i="48"/>
  <c r="D266" i="48"/>
  <c r="D267" i="48"/>
  <c r="D268" i="48"/>
  <c r="D269" i="48"/>
  <c r="D270" i="48"/>
  <c r="D271" i="48"/>
  <c r="D272" i="48"/>
  <c r="D273" i="48"/>
  <c r="D274" i="48"/>
  <c r="D275" i="48"/>
  <c r="D276" i="48"/>
  <c r="D277" i="48"/>
  <c r="D278" i="48"/>
  <c r="D279" i="48"/>
  <c r="D280" i="48"/>
  <c r="D281" i="48"/>
  <c r="D282" i="48"/>
  <c r="D283" i="48"/>
  <c r="D284" i="48"/>
  <c r="D285" i="48"/>
  <c r="D286" i="48"/>
  <c r="D287" i="48"/>
  <c r="D288" i="48"/>
  <c r="D289" i="48"/>
  <c r="D290" i="48"/>
  <c r="D291" i="48"/>
  <c r="D292" i="48"/>
  <c r="D293" i="48"/>
  <c r="D294" i="48"/>
  <c r="D295" i="48"/>
  <c r="D296" i="48"/>
  <c r="D297" i="48"/>
  <c r="D298" i="48"/>
  <c r="D299" i="48"/>
  <c r="D300" i="48"/>
  <c r="D301" i="48"/>
  <c r="D302" i="48"/>
  <c r="D303" i="48"/>
  <c r="D304" i="48"/>
  <c r="D305" i="48"/>
  <c r="D306" i="48"/>
  <c r="D307" i="48"/>
  <c r="D308" i="48"/>
  <c r="D309" i="48"/>
  <c r="D310" i="48"/>
  <c r="D311" i="48"/>
  <c r="D312" i="48"/>
  <c r="D313" i="48"/>
  <c r="D314" i="48"/>
  <c r="D315" i="48"/>
  <c r="D316" i="48"/>
  <c r="D317" i="48"/>
  <c r="D318" i="48"/>
  <c r="D319" i="48"/>
  <c r="D320" i="48"/>
  <c r="D321" i="48"/>
  <c r="D322" i="48"/>
  <c r="D323" i="48"/>
  <c r="D324" i="48"/>
  <c r="D325" i="48"/>
  <c r="D326" i="48"/>
  <c r="D327" i="48"/>
  <c r="D328" i="48"/>
  <c r="D329" i="48"/>
  <c r="D330" i="48"/>
  <c r="D331" i="48"/>
  <c r="D332" i="48"/>
  <c r="D333" i="48"/>
  <c r="D334" i="48"/>
  <c r="D335" i="48"/>
  <c r="D336" i="48"/>
  <c r="D337" i="48"/>
  <c r="D338" i="48"/>
  <c r="D339" i="48"/>
  <c r="D340" i="48"/>
  <c r="D341" i="48"/>
  <c r="D342" i="48"/>
  <c r="D343" i="48"/>
  <c r="D344" i="48"/>
  <c r="D345" i="48"/>
  <c r="D346" i="48"/>
  <c r="D347" i="48"/>
  <c r="D348" i="48"/>
  <c r="D349" i="48"/>
  <c r="D350" i="48"/>
  <c r="D351" i="48"/>
  <c r="D352" i="48"/>
  <c r="D353" i="48"/>
  <c r="D354" i="48"/>
  <c r="D355" i="48"/>
  <c r="D356" i="48"/>
  <c r="D357" i="48"/>
  <c r="D358" i="48"/>
  <c r="D359" i="48"/>
  <c r="D360" i="48"/>
  <c r="D361" i="48"/>
  <c r="D362" i="48"/>
  <c r="D363" i="48"/>
  <c r="D364" i="48"/>
  <c r="D365" i="48"/>
  <c r="D366" i="48"/>
  <c r="D367" i="48"/>
  <c r="D368" i="48"/>
  <c r="D369" i="48"/>
  <c r="D370" i="48"/>
  <c r="D371" i="48"/>
  <c r="D372" i="48"/>
  <c r="D373" i="48"/>
  <c r="D374" i="48"/>
  <c r="D375" i="48"/>
  <c r="D376" i="48"/>
  <c r="D377" i="48"/>
  <c r="D378" i="48"/>
  <c r="D379" i="48"/>
  <c r="D380" i="48"/>
  <c r="D381" i="48"/>
  <c r="D382" i="48"/>
  <c r="D383" i="48"/>
  <c r="D384" i="48"/>
  <c r="D385" i="48"/>
  <c r="D386" i="48"/>
  <c r="D387" i="48"/>
  <c r="D388" i="48"/>
  <c r="D389" i="48"/>
  <c r="D390" i="48"/>
  <c r="D391" i="48"/>
  <c r="D392" i="48"/>
  <c r="D393" i="48"/>
  <c r="D394" i="48"/>
  <c r="D395" i="48"/>
  <c r="D396" i="48"/>
  <c r="D397" i="48"/>
  <c r="D398" i="48"/>
  <c r="D399" i="48"/>
  <c r="D400" i="48"/>
  <c r="D401" i="48"/>
  <c r="D402" i="48"/>
  <c r="D403" i="48"/>
  <c r="D404" i="48"/>
  <c r="D405" i="48"/>
  <c r="D406" i="48"/>
  <c r="D407" i="48"/>
  <c r="D408" i="48"/>
  <c r="D409" i="48"/>
  <c r="D410" i="48"/>
  <c r="D411" i="48"/>
  <c r="D412" i="48"/>
  <c r="D413" i="48"/>
  <c r="D414" i="48"/>
  <c r="D415" i="48"/>
  <c r="D416" i="48"/>
  <c r="D417" i="48"/>
  <c r="D418" i="48"/>
  <c r="D419" i="48"/>
  <c r="D420" i="48"/>
  <c r="D421" i="48"/>
  <c r="D422" i="48"/>
  <c r="D423" i="48"/>
  <c r="D424" i="48"/>
  <c r="D425" i="48"/>
  <c r="D426" i="48"/>
  <c r="D427" i="48"/>
  <c r="D428" i="48"/>
  <c r="D429" i="48"/>
  <c r="D430" i="48"/>
  <c r="D431" i="48"/>
  <c r="D432" i="48"/>
  <c r="D433" i="48"/>
  <c r="D434" i="48"/>
  <c r="D435" i="48"/>
  <c r="D436" i="48"/>
  <c r="D437" i="48"/>
  <c r="D438" i="48"/>
  <c r="D439" i="48"/>
  <c r="D440" i="48"/>
  <c r="D441" i="48"/>
  <c r="D442" i="48"/>
  <c r="D443" i="48"/>
  <c r="D444" i="48"/>
  <c r="D445" i="48"/>
  <c r="D446" i="48"/>
  <c r="D447" i="48"/>
  <c r="D448" i="48"/>
  <c r="D449" i="48"/>
  <c r="D450" i="48"/>
  <c r="D451" i="48"/>
  <c r="D452" i="48"/>
  <c r="D453" i="48"/>
  <c r="D454" i="48"/>
  <c r="D455" i="48"/>
  <c r="D456" i="48"/>
  <c r="D457" i="48"/>
  <c r="D458" i="48"/>
  <c r="D459" i="48"/>
  <c r="D460" i="48"/>
  <c r="D461" i="48"/>
  <c r="D462" i="48"/>
  <c r="D463" i="48"/>
  <c r="D464" i="48"/>
  <c r="D465" i="48"/>
  <c r="D466" i="48"/>
  <c r="D467" i="48"/>
  <c r="D468" i="48"/>
  <c r="D469" i="48"/>
  <c r="D470" i="48"/>
  <c r="D471" i="48"/>
  <c r="D472" i="48"/>
  <c r="D473" i="48"/>
  <c r="D474" i="48"/>
  <c r="D475" i="48"/>
  <c r="D476" i="48"/>
  <c r="D477" i="48"/>
  <c r="D478" i="48"/>
  <c r="D479" i="48"/>
  <c r="D480" i="48"/>
  <c r="D481" i="48"/>
  <c r="D482" i="48"/>
  <c r="D483" i="48"/>
  <c r="D484" i="48"/>
  <c r="D485" i="48"/>
  <c r="D486" i="48"/>
  <c r="D487" i="48"/>
  <c r="D488" i="48"/>
  <c r="D489" i="48"/>
  <c r="D490" i="48"/>
  <c r="D491" i="48"/>
  <c r="D492" i="48"/>
  <c r="D493" i="48"/>
  <c r="D494" i="48"/>
  <c r="D495" i="48"/>
  <c r="D496" i="48"/>
  <c r="D497" i="48"/>
  <c r="D498" i="48"/>
  <c r="D499" i="48"/>
  <c r="D500" i="48"/>
  <c r="D501" i="48"/>
  <c r="D502" i="48"/>
  <c r="D503" i="48"/>
  <c r="D504" i="48"/>
  <c r="D505" i="48"/>
  <c r="D506" i="48"/>
  <c r="D507" i="48"/>
  <c r="D508" i="48"/>
  <c r="D509" i="48"/>
  <c r="D510" i="48"/>
  <c r="D511" i="48"/>
  <c r="D512" i="48"/>
  <c r="D513" i="48"/>
  <c r="D514" i="48"/>
  <c r="D515" i="48"/>
  <c r="D516" i="48"/>
  <c r="D517" i="48"/>
  <c r="D518" i="48"/>
  <c r="D519" i="48"/>
  <c r="D520" i="48"/>
  <c r="D521" i="48"/>
  <c r="D522" i="48"/>
  <c r="D523" i="48"/>
  <c r="D524" i="48"/>
  <c r="D525" i="48"/>
  <c r="D526" i="48"/>
  <c r="D527" i="48"/>
  <c r="D528" i="48"/>
  <c r="D529" i="48"/>
  <c r="D530" i="48"/>
  <c r="D531" i="48"/>
  <c r="D532" i="48"/>
  <c r="D533" i="48"/>
  <c r="D534" i="48"/>
  <c r="D535" i="48"/>
  <c r="D536" i="48"/>
  <c r="D537" i="48"/>
  <c r="D538" i="48"/>
  <c r="D539" i="48"/>
  <c r="D540" i="48"/>
  <c r="D541" i="48"/>
  <c r="D542" i="48"/>
  <c r="D543" i="48"/>
  <c r="D544" i="48"/>
  <c r="D545" i="48"/>
  <c r="D546" i="48"/>
  <c r="D547" i="48"/>
  <c r="D548" i="48"/>
  <c r="D549" i="48"/>
  <c r="D550" i="48"/>
  <c r="D551" i="48"/>
  <c r="D552" i="48"/>
  <c r="D553" i="48"/>
  <c r="D554" i="48"/>
  <c r="D555" i="48"/>
  <c r="D556" i="48"/>
  <c r="D557" i="48"/>
  <c r="D558" i="48"/>
  <c r="D559" i="48"/>
  <c r="D560" i="48"/>
  <c r="D561" i="48"/>
  <c r="D562" i="48"/>
  <c r="D563" i="48"/>
  <c r="D564" i="48"/>
  <c r="D565" i="48"/>
  <c r="D566" i="48"/>
  <c r="D567" i="48"/>
  <c r="D568" i="48"/>
  <c r="D569" i="48"/>
  <c r="D570" i="48"/>
  <c r="D571" i="48"/>
  <c r="D572" i="48"/>
  <c r="D573" i="48"/>
  <c r="D574" i="48"/>
  <c r="D575" i="48"/>
  <c r="D576" i="48"/>
  <c r="D577" i="48"/>
  <c r="D578" i="48"/>
  <c r="D579" i="48"/>
  <c r="D580" i="48"/>
  <c r="D581" i="48"/>
  <c r="D582" i="48"/>
  <c r="D583" i="48"/>
  <c r="D584" i="48"/>
  <c r="D585" i="48"/>
  <c r="D586" i="48"/>
  <c r="D587" i="48"/>
  <c r="D588" i="48"/>
  <c r="D589" i="48"/>
  <c r="D590" i="48"/>
  <c r="D591" i="48"/>
  <c r="D592" i="48"/>
  <c r="D593" i="48"/>
  <c r="D594" i="48"/>
  <c r="D595" i="48"/>
  <c r="D596" i="48"/>
  <c r="D597" i="48"/>
  <c r="D598" i="48"/>
  <c r="D599" i="48"/>
  <c r="D600" i="48"/>
  <c r="D601" i="48"/>
  <c r="D602" i="48"/>
  <c r="D603" i="48"/>
  <c r="D604" i="48"/>
  <c r="D605" i="48"/>
  <c r="D606" i="48"/>
  <c r="D607" i="48"/>
  <c r="D608" i="48"/>
  <c r="D609" i="48"/>
  <c r="D610" i="48"/>
  <c r="D611" i="48"/>
  <c r="D612" i="48"/>
  <c r="D613" i="48"/>
  <c r="D614" i="48"/>
  <c r="D615" i="48"/>
  <c r="D616" i="48"/>
  <c r="D617" i="48"/>
  <c r="D618" i="48"/>
  <c r="D619" i="48"/>
  <c r="D620" i="48"/>
  <c r="D621" i="48"/>
  <c r="D622" i="48"/>
  <c r="D623" i="48"/>
  <c r="D624" i="48"/>
  <c r="D625" i="48"/>
  <c r="D626" i="48"/>
  <c r="D627" i="48"/>
  <c r="D628" i="48"/>
  <c r="D629" i="48"/>
  <c r="D630" i="48"/>
  <c r="D631" i="48"/>
  <c r="D632" i="48"/>
  <c r="D633" i="48"/>
  <c r="D634" i="48"/>
  <c r="D635" i="48"/>
  <c r="D636" i="48"/>
  <c r="D637" i="48"/>
  <c r="D638" i="48"/>
  <c r="D639" i="48"/>
  <c r="D640" i="48"/>
  <c r="D641" i="48"/>
  <c r="D642" i="48"/>
  <c r="D643" i="48"/>
  <c r="D644" i="48"/>
  <c r="D645" i="48"/>
  <c r="D646" i="48"/>
  <c r="D647" i="48"/>
  <c r="D648" i="48"/>
  <c r="D649" i="48"/>
  <c r="D650" i="48"/>
  <c r="D651" i="48"/>
  <c r="D652" i="48"/>
  <c r="D653" i="48"/>
  <c r="D654" i="48"/>
  <c r="D655" i="48"/>
  <c r="D656" i="48"/>
  <c r="D657" i="48"/>
  <c r="D658" i="48"/>
  <c r="D659" i="48"/>
  <c r="D660" i="48"/>
  <c r="D661" i="48"/>
  <c r="D662" i="48"/>
  <c r="D663" i="48"/>
  <c r="D664" i="48"/>
  <c r="D665" i="48"/>
  <c r="D666" i="48"/>
  <c r="D667" i="48"/>
  <c r="D668" i="48"/>
  <c r="D669" i="48"/>
  <c r="D670" i="48"/>
  <c r="D671" i="48"/>
  <c r="D672" i="48"/>
  <c r="D673" i="48"/>
  <c r="D674" i="48"/>
  <c r="D675" i="48"/>
  <c r="D676" i="48"/>
  <c r="D677" i="48"/>
  <c r="D678" i="48"/>
  <c r="D679" i="48"/>
  <c r="D680" i="48"/>
  <c r="D681" i="48"/>
  <c r="D682" i="48"/>
  <c r="D683" i="48"/>
  <c r="D684" i="48"/>
  <c r="D685" i="48"/>
  <c r="D686" i="48"/>
  <c r="D687" i="48"/>
  <c r="D688" i="48"/>
  <c r="D689" i="48"/>
  <c r="D690" i="48"/>
  <c r="D691" i="48"/>
  <c r="D692" i="48"/>
  <c r="D693" i="48"/>
  <c r="D694" i="48"/>
  <c r="D695" i="48"/>
  <c r="D696" i="48"/>
  <c r="D697" i="48"/>
  <c r="D698" i="48"/>
  <c r="D699" i="48"/>
  <c r="D700" i="48"/>
  <c r="D701" i="48"/>
  <c r="D702" i="48"/>
  <c r="D703" i="48"/>
  <c r="D704" i="48"/>
  <c r="D705" i="48"/>
  <c r="D706" i="48"/>
  <c r="D707" i="48"/>
  <c r="D708" i="48"/>
  <c r="D709" i="48"/>
  <c r="D710" i="48"/>
  <c r="D711" i="48"/>
  <c r="D712" i="48"/>
  <c r="D713" i="48"/>
  <c r="D714" i="48"/>
  <c r="D715" i="48"/>
  <c r="D716" i="48"/>
  <c r="D717" i="48"/>
  <c r="D718" i="48"/>
  <c r="D719" i="48"/>
  <c r="D720" i="48"/>
  <c r="D721" i="48"/>
  <c r="D722" i="48"/>
  <c r="D723" i="48"/>
  <c r="D724" i="48"/>
  <c r="D725" i="48"/>
  <c r="D726" i="48"/>
  <c r="D727" i="48"/>
  <c r="D728" i="48"/>
  <c r="D729" i="48"/>
  <c r="D730" i="48"/>
  <c r="D731" i="48"/>
  <c r="D732" i="48"/>
  <c r="D733" i="48"/>
  <c r="D734" i="48"/>
  <c r="D735" i="48"/>
  <c r="D736" i="48"/>
  <c r="D737" i="48"/>
  <c r="D738" i="48"/>
  <c r="D739" i="48"/>
  <c r="D740" i="48"/>
  <c r="D741" i="48"/>
  <c r="D742" i="48"/>
  <c r="D743" i="48"/>
  <c r="D744" i="48"/>
  <c r="D745" i="48"/>
  <c r="D746" i="48"/>
  <c r="D747" i="48"/>
  <c r="D748" i="48"/>
  <c r="D749" i="48"/>
  <c r="D750" i="48"/>
  <c r="D751" i="48"/>
  <c r="D752" i="48"/>
  <c r="D753" i="48"/>
  <c r="D754" i="48"/>
  <c r="D755" i="48"/>
  <c r="D756" i="48"/>
  <c r="D757" i="48"/>
  <c r="D758" i="48"/>
  <c r="D759" i="48"/>
  <c r="D760" i="48"/>
  <c r="D761" i="48"/>
  <c r="D762" i="48"/>
  <c r="D763" i="48"/>
  <c r="D764" i="48"/>
  <c r="D765" i="48"/>
  <c r="D766" i="48"/>
  <c r="D767" i="48"/>
  <c r="D768" i="48"/>
  <c r="D769" i="48"/>
  <c r="D770" i="48"/>
  <c r="D771" i="48"/>
  <c r="D772" i="48"/>
  <c r="D773" i="48"/>
  <c r="D774" i="48"/>
  <c r="D775" i="48"/>
  <c r="D776" i="48"/>
  <c r="D777" i="48"/>
  <c r="D778" i="48"/>
  <c r="D779" i="48"/>
  <c r="D780" i="48"/>
  <c r="D781" i="48"/>
  <c r="D782" i="48"/>
  <c r="D783" i="48"/>
  <c r="D784" i="48"/>
  <c r="D785" i="48"/>
  <c r="D786" i="48"/>
  <c r="D787" i="48"/>
  <c r="D788" i="48"/>
  <c r="D789" i="48"/>
  <c r="D790" i="48"/>
  <c r="D791" i="48"/>
  <c r="D792" i="48"/>
  <c r="D793" i="48"/>
  <c r="D794" i="48"/>
  <c r="D795" i="48"/>
  <c r="D796" i="48"/>
  <c r="D797" i="48"/>
  <c r="D798" i="48"/>
  <c r="D799" i="48"/>
  <c r="D800" i="48"/>
  <c r="D801" i="48"/>
  <c r="D802" i="48"/>
  <c r="D803" i="48"/>
  <c r="D804" i="48"/>
  <c r="D805" i="48"/>
  <c r="D806" i="48"/>
  <c r="D807" i="48"/>
  <c r="D808" i="48"/>
  <c r="D809" i="48"/>
  <c r="D810" i="48"/>
  <c r="D811" i="48"/>
  <c r="D812" i="48"/>
  <c r="D813" i="48"/>
  <c r="D814" i="48"/>
  <c r="D815" i="48"/>
  <c r="D816" i="48"/>
  <c r="D817" i="48"/>
  <c r="D818" i="48"/>
  <c r="D819" i="48"/>
  <c r="D820" i="48"/>
  <c r="D821" i="48"/>
  <c r="D822" i="48"/>
  <c r="D823" i="48"/>
  <c r="D824" i="48"/>
  <c r="D825" i="48"/>
  <c r="D826" i="48"/>
  <c r="D827" i="48"/>
  <c r="D828" i="48"/>
  <c r="D829" i="48"/>
  <c r="D830" i="48"/>
  <c r="D831" i="48"/>
  <c r="D832" i="48"/>
  <c r="D833" i="48"/>
  <c r="D834" i="48"/>
  <c r="D835" i="48"/>
  <c r="D836" i="48"/>
  <c r="D837" i="48"/>
  <c r="D838" i="48"/>
  <c r="D839" i="48"/>
  <c r="D840" i="48"/>
  <c r="D841" i="48"/>
  <c r="D842" i="48"/>
  <c r="D843" i="48"/>
  <c r="D844" i="48"/>
  <c r="D845" i="48"/>
  <c r="D846" i="48"/>
  <c r="D847" i="48"/>
  <c r="D848" i="48"/>
  <c r="D849" i="48"/>
  <c r="D850" i="48"/>
  <c r="D851" i="48"/>
  <c r="D852" i="48"/>
  <c r="D853" i="48"/>
  <c r="D854" i="48"/>
  <c r="D855" i="48"/>
  <c r="D856" i="48"/>
  <c r="D857" i="48"/>
  <c r="D858" i="48"/>
  <c r="D859" i="48"/>
  <c r="D860" i="48"/>
  <c r="D861" i="48"/>
  <c r="D862" i="48"/>
  <c r="D863" i="48"/>
  <c r="D864" i="48"/>
  <c r="D865" i="48"/>
  <c r="D866" i="48"/>
  <c r="D867" i="48"/>
  <c r="D868" i="48"/>
  <c r="D869" i="48"/>
  <c r="D870" i="48"/>
  <c r="D871" i="48"/>
  <c r="D872" i="48"/>
  <c r="D873" i="48"/>
  <c r="D874" i="48"/>
  <c r="D875" i="48"/>
  <c r="D876" i="48"/>
  <c r="D877" i="48"/>
  <c r="D878" i="48"/>
  <c r="D879" i="48"/>
  <c r="D880" i="48"/>
  <c r="D881" i="48"/>
  <c r="D882" i="48"/>
  <c r="D883" i="48"/>
  <c r="D884" i="48"/>
  <c r="D885" i="48"/>
  <c r="D886" i="48"/>
  <c r="D887" i="48"/>
  <c r="D888" i="48"/>
  <c r="D889" i="48"/>
  <c r="D890" i="48"/>
  <c r="D891" i="48"/>
  <c r="D892" i="48"/>
  <c r="D893" i="48"/>
  <c r="D894" i="48"/>
  <c r="D895" i="48"/>
  <c r="D896" i="48"/>
  <c r="D897" i="48"/>
  <c r="D898" i="48"/>
  <c r="D899" i="48"/>
  <c r="D900" i="48"/>
  <c r="D901" i="48"/>
  <c r="D902" i="48"/>
  <c r="D903" i="48"/>
  <c r="D904" i="48"/>
  <c r="D905" i="48"/>
  <c r="D906" i="48"/>
  <c r="D907" i="48"/>
  <c r="D908" i="48"/>
  <c r="D909" i="48"/>
  <c r="D910" i="48"/>
  <c r="D911" i="48"/>
  <c r="D912" i="48"/>
  <c r="D913" i="48"/>
  <c r="D914" i="48"/>
  <c r="D915" i="48"/>
  <c r="D916" i="48"/>
  <c r="D917" i="48"/>
  <c r="D918" i="48"/>
  <c r="D919" i="48"/>
  <c r="D920" i="48"/>
  <c r="D921" i="48"/>
  <c r="D922" i="48"/>
  <c r="D923" i="48"/>
  <c r="D924" i="48"/>
  <c r="D925" i="48"/>
  <c r="D926" i="48"/>
  <c r="D927" i="48"/>
  <c r="D928" i="48"/>
  <c r="D929" i="48"/>
  <c r="D930" i="48"/>
  <c r="D931" i="48"/>
  <c r="D932" i="48"/>
  <c r="D933" i="48"/>
  <c r="D934" i="48"/>
  <c r="D935" i="48"/>
  <c r="D936" i="48"/>
  <c r="D937" i="48"/>
  <c r="D938" i="48"/>
  <c r="D939" i="48"/>
  <c r="D940" i="48"/>
  <c r="D941" i="48"/>
  <c r="D942" i="48"/>
  <c r="D943" i="48"/>
  <c r="D944" i="48"/>
  <c r="D945" i="48"/>
  <c r="D946" i="48"/>
  <c r="D947" i="48"/>
  <c r="D948" i="48"/>
  <c r="D949" i="48"/>
  <c r="D950" i="48"/>
  <c r="D951" i="48"/>
  <c r="D952" i="48"/>
  <c r="D953" i="48"/>
  <c r="D954" i="48"/>
  <c r="D955" i="48"/>
  <c r="D956" i="48"/>
  <c r="D957" i="48"/>
  <c r="D958" i="48"/>
  <c r="D959" i="48"/>
  <c r="D960" i="48"/>
  <c r="D961" i="48"/>
  <c r="D962" i="48"/>
  <c r="D963" i="48"/>
  <c r="D964" i="48"/>
  <c r="D965" i="48"/>
  <c r="D966" i="48"/>
  <c r="D967" i="48"/>
  <c r="D968" i="48"/>
  <c r="D969" i="48"/>
  <c r="D970" i="48"/>
  <c r="D971" i="48"/>
  <c r="D972" i="48"/>
  <c r="D973" i="48"/>
  <c r="D974" i="48"/>
  <c r="D975" i="48"/>
  <c r="D976" i="48"/>
  <c r="D977" i="48"/>
  <c r="D978" i="48"/>
  <c r="D979" i="48"/>
  <c r="D980" i="48"/>
  <c r="D981" i="48"/>
  <c r="D982" i="48"/>
  <c r="D983" i="48"/>
  <c r="D984" i="48"/>
  <c r="D985" i="48"/>
  <c r="D986" i="48"/>
  <c r="D987" i="48"/>
  <c r="D988" i="48"/>
  <c r="D989" i="48"/>
  <c r="D990" i="48"/>
  <c r="D991" i="48"/>
  <c r="D992" i="48"/>
  <c r="D993" i="48"/>
  <c r="D994" i="48"/>
  <c r="D995" i="48"/>
  <c r="D996" i="48"/>
  <c r="D997" i="48"/>
  <c r="D998" i="48"/>
  <c r="D999" i="48"/>
  <c r="D1000" i="48"/>
  <c r="D1001" i="48"/>
  <c r="D1002" i="48"/>
  <c r="D1003" i="48"/>
  <c r="D1004" i="48"/>
  <c r="D1005" i="48"/>
  <c r="D1006" i="48"/>
  <c r="D1007" i="48"/>
  <c r="D1008" i="48"/>
  <c r="D1009" i="48"/>
  <c r="D1010" i="48"/>
  <c r="D1011" i="48"/>
  <c r="D1012" i="48"/>
  <c r="D1013" i="48"/>
  <c r="D1014" i="48"/>
  <c r="D1015" i="48"/>
  <c r="D1016" i="48"/>
  <c r="D1017" i="48"/>
  <c r="D1018" i="48"/>
  <c r="D1019" i="48"/>
  <c r="D1020" i="48"/>
  <c r="D1021" i="48"/>
  <c r="D1022" i="48"/>
  <c r="D1023" i="48"/>
  <c r="D1024" i="48"/>
  <c r="D1025" i="48"/>
  <c r="D1026" i="48"/>
  <c r="D1027" i="48"/>
  <c r="D1028" i="48"/>
  <c r="D1029" i="48"/>
  <c r="D1030" i="48"/>
  <c r="D1031" i="48"/>
  <c r="D1032" i="48"/>
  <c r="D1033" i="48"/>
  <c r="D1034" i="48"/>
  <c r="D1035" i="48"/>
  <c r="D1036" i="48"/>
  <c r="D1037" i="48"/>
  <c r="D1038" i="48"/>
  <c r="D1039" i="48"/>
  <c r="D1040" i="48"/>
  <c r="D1041" i="48"/>
  <c r="D1042" i="48"/>
  <c r="D1043" i="48"/>
  <c r="D1044" i="48"/>
  <c r="D1045" i="48"/>
  <c r="D1046" i="48"/>
  <c r="D1047" i="48"/>
  <c r="D1048" i="48"/>
  <c r="D1049" i="48"/>
  <c r="D1050" i="48"/>
  <c r="D1051" i="48"/>
  <c r="D1052" i="48"/>
  <c r="D1053" i="48"/>
  <c r="D1054" i="48"/>
  <c r="D1055" i="48"/>
  <c r="D1056" i="48"/>
  <c r="D1057" i="48"/>
  <c r="D1058" i="48"/>
  <c r="D1059" i="48"/>
  <c r="D1060" i="48"/>
  <c r="D1061" i="48"/>
  <c r="D1062" i="48"/>
  <c r="D1063" i="48"/>
  <c r="D1064" i="48"/>
  <c r="D1065" i="48"/>
  <c r="D1066" i="48"/>
  <c r="D1067" i="48"/>
  <c r="D1068" i="48"/>
  <c r="D1069" i="48"/>
  <c r="D1070" i="48"/>
  <c r="D1071" i="48"/>
  <c r="D1072" i="48"/>
  <c r="D1073" i="48"/>
  <c r="D1074" i="48"/>
  <c r="D1075" i="48"/>
  <c r="D1076" i="48"/>
  <c r="D1077" i="48"/>
  <c r="D1078" i="48"/>
  <c r="D1079" i="48"/>
  <c r="D1080" i="48"/>
  <c r="D1081" i="48"/>
  <c r="D1082" i="48"/>
  <c r="D1083" i="48"/>
  <c r="D1084" i="48"/>
  <c r="D1085" i="48"/>
  <c r="D1086" i="48"/>
  <c r="D1087" i="48"/>
  <c r="D1088" i="48"/>
  <c r="D1089" i="48"/>
  <c r="D1090" i="48"/>
  <c r="D1091" i="48"/>
  <c r="D1092" i="48"/>
  <c r="D1093" i="48"/>
  <c r="D1094" i="48"/>
  <c r="D1095" i="48"/>
  <c r="D1096" i="48"/>
  <c r="D1097" i="48"/>
  <c r="D1098" i="48"/>
  <c r="D1099" i="48"/>
  <c r="D1100" i="48"/>
  <c r="D1101" i="48"/>
  <c r="D1102" i="48"/>
  <c r="D1103" i="48"/>
  <c r="D1104" i="48"/>
  <c r="D1105" i="48"/>
  <c r="D1106" i="48"/>
  <c r="D1107" i="48"/>
  <c r="D1108" i="48"/>
  <c r="D1109" i="48"/>
  <c r="D1110" i="48"/>
  <c r="D1111" i="48"/>
  <c r="D1112" i="48"/>
  <c r="D1113" i="48"/>
  <c r="D1114" i="48"/>
  <c r="D1115" i="48"/>
  <c r="D1116" i="48"/>
  <c r="D1117" i="48"/>
  <c r="D1118" i="48"/>
  <c r="D1119" i="48"/>
  <c r="D1120" i="48"/>
  <c r="D1121" i="48"/>
  <c r="D1122" i="48"/>
  <c r="D1123" i="48"/>
  <c r="D1124" i="48"/>
  <c r="D1125" i="48"/>
  <c r="D1126" i="48"/>
  <c r="D1127" i="48"/>
  <c r="D1128" i="48"/>
  <c r="D1129" i="48"/>
  <c r="D1130" i="48"/>
  <c r="D1131" i="48"/>
  <c r="D1132" i="48"/>
  <c r="D1133" i="48"/>
  <c r="D1134" i="48"/>
  <c r="D1135" i="48"/>
  <c r="D1136" i="48"/>
  <c r="D1137" i="48"/>
  <c r="D1138" i="48"/>
  <c r="D1139" i="48"/>
  <c r="D1140" i="48"/>
  <c r="D1141" i="48"/>
  <c r="D1142" i="48"/>
  <c r="D1143" i="48"/>
  <c r="D1144" i="48"/>
  <c r="D1145" i="48"/>
  <c r="D1146" i="48"/>
  <c r="D1147" i="48"/>
  <c r="D1148" i="48"/>
  <c r="D1149" i="48"/>
  <c r="D1150" i="48"/>
  <c r="D1151" i="48"/>
  <c r="D1152" i="48"/>
  <c r="D1153" i="48"/>
  <c r="D1154" i="48"/>
  <c r="D1155" i="48"/>
  <c r="D1156" i="48"/>
  <c r="D1157" i="48"/>
  <c r="D1158" i="48"/>
  <c r="D1159" i="48"/>
  <c r="D1160" i="48"/>
  <c r="D1161" i="48"/>
  <c r="D1162" i="48"/>
  <c r="D1163" i="48"/>
  <c r="D1164" i="48"/>
  <c r="D1165" i="48"/>
  <c r="D1166" i="48"/>
  <c r="D1167" i="48"/>
  <c r="D1168" i="48"/>
  <c r="D1169" i="48"/>
  <c r="D1170" i="48"/>
  <c r="D1171" i="48"/>
  <c r="D1172" i="48"/>
  <c r="D1173" i="48"/>
  <c r="D1174" i="48"/>
  <c r="D1175" i="48"/>
  <c r="D1176" i="48"/>
  <c r="D1177" i="48"/>
  <c r="D1178" i="48"/>
  <c r="D1179" i="48"/>
  <c r="D1180" i="48"/>
  <c r="D1181" i="48"/>
  <c r="D1182" i="48"/>
  <c r="D1183" i="48"/>
  <c r="D1184" i="48"/>
  <c r="D1185" i="48"/>
  <c r="D1186" i="48"/>
  <c r="D1187" i="48"/>
  <c r="D1188" i="48"/>
  <c r="D1189" i="48"/>
  <c r="D1190" i="48"/>
  <c r="D1191" i="48"/>
  <c r="D1192" i="48"/>
  <c r="D1193" i="48"/>
  <c r="D1194" i="48"/>
  <c r="D1195" i="48"/>
  <c r="D1196" i="48"/>
  <c r="D1197" i="48"/>
  <c r="D1198" i="48"/>
  <c r="D1199" i="48"/>
  <c r="D1200" i="48"/>
  <c r="D1201" i="48"/>
  <c r="D1202" i="48"/>
  <c r="D1203" i="48"/>
  <c r="D1204" i="48"/>
  <c r="D1205" i="48"/>
  <c r="D1206" i="48"/>
  <c r="D1207" i="48"/>
  <c r="D1208" i="48"/>
  <c r="D1209" i="48"/>
  <c r="D1210" i="48"/>
  <c r="D1211" i="48"/>
  <c r="D1212" i="48"/>
  <c r="D1213" i="48"/>
  <c r="D1214" i="48"/>
  <c r="D1215" i="48"/>
  <c r="D1216" i="48"/>
  <c r="D1217" i="48"/>
  <c r="D1218" i="48"/>
  <c r="D1219" i="48"/>
  <c r="D1220" i="48"/>
  <c r="D1221" i="48"/>
  <c r="D1222" i="48"/>
  <c r="D1223" i="48"/>
  <c r="D1224" i="48"/>
  <c r="D1225" i="48"/>
  <c r="D1226" i="48"/>
  <c r="D1227" i="48"/>
  <c r="D1228" i="48"/>
  <c r="D1229" i="48"/>
  <c r="D1230" i="48"/>
  <c r="D1231" i="48"/>
  <c r="D1232" i="48"/>
  <c r="D1233" i="48"/>
  <c r="D1234" i="48"/>
  <c r="D1235" i="48"/>
  <c r="D1236" i="48"/>
  <c r="D1237" i="48"/>
  <c r="D1238" i="48"/>
  <c r="D1239" i="48"/>
  <c r="D1240" i="48"/>
  <c r="D1241" i="48"/>
  <c r="D1242" i="48"/>
  <c r="D1243" i="48"/>
  <c r="D1244" i="48"/>
  <c r="D1245" i="48"/>
  <c r="D1246" i="48"/>
  <c r="D1247" i="48"/>
  <c r="D1248" i="48"/>
  <c r="D1249" i="48"/>
  <c r="D1250" i="48"/>
  <c r="D1251" i="48"/>
  <c r="D1252" i="48"/>
  <c r="D1253" i="48"/>
  <c r="D1254" i="48"/>
  <c r="D1255" i="48"/>
  <c r="D1256" i="48"/>
  <c r="D1257" i="48"/>
  <c r="D1258" i="48"/>
  <c r="D1259" i="48"/>
  <c r="D1260" i="48"/>
  <c r="D1261" i="48"/>
  <c r="D1262" i="48"/>
  <c r="D1263" i="48"/>
  <c r="D1264" i="48"/>
  <c r="D1265" i="48"/>
  <c r="D1266" i="48"/>
  <c r="D1267" i="48"/>
  <c r="D1268" i="48"/>
  <c r="D1269" i="48"/>
  <c r="D1270" i="48"/>
  <c r="D1271" i="48"/>
  <c r="D1272" i="48"/>
  <c r="D1273" i="48"/>
  <c r="D1274" i="48"/>
  <c r="D1275" i="48"/>
  <c r="D1276" i="48"/>
  <c r="D1277" i="48"/>
  <c r="D1278" i="48"/>
  <c r="D1279" i="48"/>
  <c r="D1280" i="48"/>
  <c r="D1281" i="48"/>
  <c r="D1282" i="48"/>
  <c r="D1283" i="48"/>
  <c r="D1284" i="48"/>
  <c r="D1285" i="48"/>
  <c r="D1286" i="48"/>
  <c r="D1287" i="48"/>
  <c r="D1288" i="48"/>
  <c r="D1289" i="48"/>
  <c r="D1290" i="48"/>
  <c r="D1291" i="48"/>
  <c r="D1292" i="48"/>
  <c r="D1293" i="48"/>
  <c r="D1294" i="48"/>
  <c r="D1295" i="48"/>
  <c r="D1296" i="48"/>
  <c r="D1297" i="48"/>
  <c r="D1298" i="48"/>
  <c r="D1299" i="48"/>
  <c r="D1300" i="48"/>
  <c r="D1301" i="48"/>
  <c r="D1302" i="48"/>
  <c r="D1303" i="48"/>
  <c r="D1304" i="48"/>
  <c r="D1305" i="48"/>
  <c r="D1306" i="48"/>
  <c r="D1307" i="48"/>
  <c r="D1308" i="48"/>
  <c r="D1309" i="48"/>
  <c r="D1310" i="48"/>
  <c r="D1311" i="48"/>
  <c r="D1312" i="48"/>
  <c r="D1313" i="48"/>
  <c r="D1314" i="48"/>
  <c r="D1315" i="48"/>
  <c r="D1316" i="48"/>
  <c r="D1317" i="48"/>
  <c r="D1318" i="48"/>
  <c r="D1319" i="48"/>
  <c r="D1320" i="48"/>
  <c r="D1321" i="48"/>
  <c r="D1322" i="48"/>
  <c r="D1323" i="48"/>
  <c r="D1324" i="48"/>
  <c r="D1325" i="48"/>
  <c r="D1326" i="48"/>
  <c r="D1327" i="48"/>
  <c r="D1328" i="48"/>
  <c r="D1329" i="48"/>
  <c r="D1330" i="48"/>
  <c r="D1331" i="48"/>
  <c r="D1332" i="48"/>
  <c r="D1333" i="48"/>
  <c r="D1334" i="48"/>
  <c r="D1335" i="48"/>
  <c r="D1336" i="48"/>
  <c r="D1337" i="48"/>
  <c r="D1338" i="48"/>
  <c r="D1339" i="48"/>
  <c r="D1340" i="48"/>
  <c r="D1341" i="48"/>
  <c r="D1342" i="48"/>
  <c r="D1343" i="48"/>
  <c r="D1344" i="48"/>
  <c r="D1345" i="48"/>
  <c r="D1346" i="48"/>
  <c r="D1347" i="48"/>
  <c r="D1348" i="48"/>
  <c r="D1349" i="48"/>
  <c r="D1350" i="48"/>
  <c r="D1351" i="48"/>
  <c r="D1352" i="48"/>
  <c r="D1353" i="48"/>
  <c r="D1354" i="48"/>
  <c r="D1355" i="48"/>
  <c r="D1356" i="48"/>
  <c r="D1357" i="48"/>
  <c r="D1358" i="48"/>
  <c r="D1359" i="48"/>
  <c r="D1360" i="48"/>
  <c r="D1361" i="48"/>
  <c r="D1362" i="48"/>
  <c r="D1363" i="48"/>
  <c r="D1364" i="48"/>
  <c r="D1365" i="48"/>
  <c r="D1366" i="48"/>
  <c r="D1367" i="48"/>
  <c r="D1368" i="48"/>
  <c r="D1369" i="48"/>
  <c r="D1370" i="48"/>
  <c r="D1371" i="48"/>
  <c r="D1372" i="48"/>
  <c r="D1373" i="48"/>
  <c r="D1374" i="48"/>
  <c r="D1375" i="48"/>
  <c r="D1376" i="48"/>
  <c r="D1377" i="48"/>
  <c r="D1378" i="48"/>
  <c r="D1379" i="48"/>
  <c r="D1380" i="48"/>
  <c r="D1381" i="48"/>
  <c r="D1382" i="48"/>
  <c r="D1383" i="48"/>
  <c r="D1384" i="48"/>
  <c r="D1385" i="48"/>
  <c r="D1386" i="48"/>
  <c r="D1387" i="48"/>
  <c r="D1388" i="48"/>
  <c r="D1389" i="48"/>
  <c r="D1390" i="48"/>
  <c r="D1391" i="48"/>
  <c r="D1392" i="48"/>
  <c r="D1393" i="48"/>
  <c r="D1394" i="48"/>
  <c r="D1395" i="48"/>
  <c r="D1396" i="48"/>
  <c r="D1397" i="48"/>
  <c r="D1398" i="48"/>
  <c r="D1399" i="48"/>
  <c r="D1400" i="48"/>
  <c r="D1401" i="48"/>
  <c r="D1402" i="48"/>
  <c r="D1403" i="48"/>
  <c r="D1404" i="48"/>
  <c r="D1405" i="48"/>
  <c r="D1406" i="48"/>
  <c r="D1407" i="48"/>
  <c r="D1408" i="48"/>
  <c r="D1409" i="48"/>
  <c r="D1410" i="48"/>
  <c r="D1411" i="48"/>
  <c r="D1412" i="48"/>
  <c r="D1413" i="48"/>
  <c r="D1414" i="48"/>
  <c r="D1415" i="48"/>
  <c r="D1416" i="48"/>
  <c r="D1417" i="48"/>
  <c r="D1418" i="48"/>
  <c r="D1419" i="48"/>
  <c r="D1420" i="48"/>
  <c r="D1421" i="48"/>
  <c r="D1422" i="48"/>
  <c r="D1423" i="48"/>
  <c r="D1424" i="48"/>
  <c r="D1425" i="48"/>
  <c r="D1426" i="48"/>
  <c r="D1427" i="48"/>
  <c r="D1428" i="48"/>
  <c r="D1429" i="48"/>
  <c r="D1430" i="48"/>
  <c r="D1431" i="48"/>
  <c r="D1432" i="48"/>
  <c r="D1433" i="48"/>
  <c r="D1434" i="48"/>
  <c r="D1435" i="48"/>
  <c r="D1436" i="48"/>
  <c r="D1437" i="48"/>
  <c r="D1438" i="48"/>
  <c r="D1439" i="48"/>
  <c r="D1440" i="48"/>
  <c r="D1441" i="48"/>
  <c r="D1442" i="48"/>
  <c r="D1443" i="48"/>
  <c r="D1444" i="48"/>
  <c r="D1445" i="48"/>
  <c r="D1446" i="48"/>
  <c r="D1447" i="48"/>
  <c r="D1448" i="48"/>
  <c r="D1449" i="48"/>
  <c r="D1450" i="48"/>
  <c r="D1451" i="48"/>
  <c r="D1452" i="48"/>
  <c r="D1453" i="48"/>
  <c r="D1454" i="48"/>
  <c r="D1455" i="48"/>
  <c r="D1456" i="48"/>
  <c r="D1457" i="48"/>
  <c r="D1458" i="48"/>
  <c r="D1459" i="48"/>
  <c r="D1460" i="48"/>
  <c r="D1461" i="48"/>
  <c r="D1462" i="48"/>
  <c r="D1463" i="48"/>
  <c r="D1464" i="48"/>
  <c r="D1465" i="48"/>
  <c r="D1466" i="48"/>
  <c r="D1467" i="48"/>
  <c r="D1468" i="48"/>
  <c r="D1469" i="48"/>
  <c r="D1470" i="48"/>
  <c r="D1471" i="48"/>
  <c r="D3" i="48"/>
  <c r="E30" i="27" l="1"/>
  <c r="F30" i="27"/>
  <c r="L43" i="28" l="1"/>
  <c r="K43" i="28"/>
  <c r="J43" i="28"/>
  <c r="L34" i="28"/>
  <c r="K34" i="28"/>
  <c r="H34" i="28"/>
  <c r="G34" i="28"/>
  <c r="F34" i="28"/>
  <c r="E34" i="28"/>
  <c r="K24" i="28"/>
  <c r="H24" i="28"/>
  <c r="L14" i="28"/>
  <c r="G14" i="28"/>
  <c r="F14" i="28"/>
  <c r="E14" i="28"/>
  <c r="E24" i="28"/>
  <c r="J34" i="28" l="1"/>
  <c r="E588" i="45" l="1"/>
  <c r="D8" i="45"/>
  <c r="E8" i="45" s="1"/>
  <c r="D19" i="45"/>
  <c r="E19" i="45" s="1"/>
  <c r="D264" i="45"/>
  <c r="E264" i="45" s="1"/>
  <c r="D589" i="45"/>
  <c r="E589" i="45" s="1"/>
  <c r="D645" i="45"/>
  <c r="E645" i="45" s="1"/>
  <c r="D779" i="45"/>
  <c r="E779" i="45" s="1"/>
  <c r="D1017" i="45"/>
  <c r="E1017" i="45" s="1"/>
  <c r="D1144" i="45"/>
  <c r="E1144" i="45" s="1"/>
  <c r="D1158" i="45"/>
  <c r="E1158" i="45" s="1"/>
  <c r="D1181" i="45"/>
  <c r="E1181" i="45" s="1"/>
  <c r="D1210" i="45"/>
  <c r="E1210" i="45" s="1"/>
  <c r="D1282" i="45"/>
  <c r="E1282" i="45" s="1"/>
  <c r="D601" i="45"/>
  <c r="E601" i="45" s="1"/>
  <c r="D6" i="45"/>
  <c r="E6" i="45" s="1"/>
  <c r="D52" i="45"/>
  <c r="E52" i="45" s="1"/>
  <c r="D53" i="45"/>
  <c r="E53" i="45" s="1"/>
  <c r="D9" i="45"/>
  <c r="E9" i="45" s="1"/>
  <c r="D10" i="45"/>
  <c r="E10" i="45" s="1"/>
  <c r="D11" i="45"/>
  <c r="E11" i="45" s="1"/>
  <c r="D14" i="45"/>
  <c r="E14" i="45" s="1"/>
  <c r="D15" i="45"/>
  <c r="E15" i="45" s="1"/>
  <c r="D16" i="45"/>
  <c r="E16" i="45" s="1"/>
  <c r="D17" i="45"/>
  <c r="E17" i="45" s="1"/>
  <c r="D18" i="45"/>
  <c r="E18" i="45" s="1"/>
  <c r="D20" i="45"/>
  <c r="E20" i="45" s="1"/>
  <c r="D21" i="45"/>
  <c r="E21" i="45" s="1"/>
  <c r="D22" i="45"/>
  <c r="E22" i="45" s="1"/>
  <c r="D23" i="45"/>
  <c r="E23" i="45" s="1"/>
  <c r="D24" i="45"/>
  <c r="E24" i="45" s="1"/>
  <c r="D25" i="45"/>
  <c r="E25" i="45" s="1"/>
  <c r="D26" i="45"/>
  <c r="E26" i="45" s="1"/>
  <c r="D27" i="45"/>
  <c r="E27" i="45" s="1"/>
  <c r="D28" i="45"/>
  <c r="E28" i="45" s="1"/>
  <c r="D29" i="45"/>
  <c r="E29" i="45" s="1"/>
  <c r="D30" i="45"/>
  <c r="E30" i="45" s="1"/>
  <c r="D32" i="45"/>
  <c r="E32" i="45" s="1"/>
  <c r="D33" i="45"/>
  <c r="E33" i="45" s="1"/>
  <c r="D34" i="45"/>
  <c r="E34" i="45" s="1"/>
  <c r="D35" i="45"/>
  <c r="E35" i="45" s="1"/>
  <c r="D36" i="45"/>
  <c r="E36" i="45" s="1"/>
  <c r="D37" i="45"/>
  <c r="E37" i="45" s="1"/>
  <c r="D38" i="45"/>
  <c r="E38" i="45" s="1"/>
  <c r="D39" i="45"/>
  <c r="E39" i="45" s="1"/>
  <c r="D40" i="45"/>
  <c r="E40" i="45" s="1"/>
  <c r="D41" i="45"/>
  <c r="E41" i="45" s="1"/>
  <c r="D42" i="45"/>
  <c r="E42" i="45" s="1"/>
  <c r="D43" i="45"/>
  <c r="E43" i="45" s="1"/>
  <c r="D44" i="45"/>
  <c r="E44" i="45" s="1"/>
  <c r="D45" i="45"/>
  <c r="E45" i="45" s="1"/>
  <c r="D47" i="45"/>
  <c r="E47" i="45" s="1"/>
  <c r="D48" i="45"/>
  <c r="E48" i="45" s="1"/>
  <c r="D50" i="45"/>
  <c r="E50" i="45" s="1"/>
  <c r="D51" i="45"/>
  <c r="E51" i="45" s="1"/>
  <c r="D54" i="45"/>
  <c r="E54" i="45" s="1"/>
  <c r="D55" i="45"/>
  <c r="E55" i="45" s="1"/>
  <c r="D56" i="45"/>
  <c r="E56" i="45" s="1"/>
  <c r="D57" i="45"/>
  <c r="E57" i="45" s="1"/>
  <c r="D58" i="45"/>
  <c r="E58" i="45" s="1"/>
  <c r="D59" i="45"/>
  <c r="E59" i="45" s="1"/>
  <c r="D60" i="45"/>
  <c r="E60" i="45" s="1"/>
  <c r="D61" i="45"/>
  <c r="E61" i="45" s="1"/>
  <c r="D62" i="45"/>
  <c r="E62" i="45" s="1"/>
  <c r="D63" i="45"/>
  <c r="E63" i="45" s="1"/>
  <c r="D64" i="45"/>
  <c r="E64" i="45" s="1"/>
  <c r="D65" i="45"/>
  <c r="E65" i="45" s="1"/>
  <c r="D66" i="45"/>
  <c r="E66" i="45" s="1"/>
  <c r="D67" i="45"/>
  <c r="E67" i="45" s="1"/>
  <c r="D68" i="45"/>
  <c r="E68" i="45" s="1"/>
  <c r="D69" i="45"/>
  <c r="E69" i="45" s="1"/>
  <c r="D70" i="45"/>
  <c r="E70" i="45" s="1"/>
  <c r="D71" i="45"/>
  <c r="E71" i="45" s="1"/>
  <c r="D72" i="45"/>
  <c r="E72" i="45" s="1"/>
  <c r="D73" i="45"/>
  <c r="E73" i="45" s="1"/>
  <c r="D74" i="45"/>
  <c r="E74" i="45" s="1"/>
  <c r="D75" i="45"/>
  <c r="E75" i="45" s="1"/>
  <c r="D76" i="45"/>
  <c r="E76" i="45" s="1"/>
  <c r="D77" i="45"/>
  <c r="E77" i="45" s="1"/>
  <c r="D78" i="45"/>
  <c r="E78" i="45" s="1"/>
  <c r="D79" i="45"/>
  <c r="E79" i="45" s="1"/>
  <c r="D80" i="45"/>
  <c r="E80" i="45" s="1"/>
  <c r="D81" i="45"/>
  <c r="E81" i="45" s="1"/>
  <c r="D82" i="45"/>
  <c r="E82" i="45" s="1"/>
  <c r="D83" i="45"/>
  <c r="E83" i="45" s="1"/>
  <c r="D84" i="45"/>
  <c r="E84" i="45" s="1"/>
  <c r="D85" i="45"/>
  <c r="E85" i="45" s="1"/>
  <c r="D86" i="45"/>
  <c r="E86" i="45" s="1"/>
  <c r="D87" i="45"/>
  <c r="E87" i="45" s="1"/>
  <c r="D88" i="45"/>
  <c r="E88" i="45" s="1"/>
  <c r="D89" i="45"/>
  <c r="E89" i="45" s="1"/>
  <c r="D90" i="45"/>
  <c r="E90" i="45" s="1"/>
  <c r="D91" i="45"/>
  <c r="E91" i="45" s="1"/>
  <c r="D92" i="45"/>
  <c r="E92" i="45" s="1"/>
  <c r="D93" i="45"/>
  <c r="E93" i="45" s="1"/>
  <c r="D94" i="45"/>
  <c r="E94" i="45" s="1"/>
  <c r="D95" i="45"/>
  <c r="E95" i="45" s="1"/>
  <c r="D96" i="45"/>
  <c r="E96" i="45" s="1"/>
  <c r="D97" i="45"/>
  <c r="E97" i="45" s="1"/>
  <c r="D98" i="45"/>
  <c r="E98" i="45" s="1"/>
  <c r="D99" i="45"/>
  <c r="E99" i="45" s="1"/>
  <c r="D100" i="45"/>
  <c r="E100" i="45" s="1"/>
  <c r="D101" i="45"/>
  <c r="E101" i="45" s="1"/>
  <c r="D102" i="45"/>
  <c r="E102" i="45" s="1"/>
  <c r="D104" i="45"/>
  <c r="E104" i="45" s="1"/>
  <c r="D105" i="45"/>
  <c r="E105" i="45" s="1"/>
  <c r="D106" i="45"/>
  <c r="E106" i="45" s="1"/>
  <c r="D107" i="45"/>
  <c r="E107" i="45" s="1"/>
  <c r="D108" i="45"/>
  <c r="E108" i="45" s="1"/>
  <c r="D109" i="45"/>
  <c r="E109" i="45" s="1"/>
  <c r="D110" i="45"/>
  <c r="E110" i="45" s="1"/>
  <c r="D111" i="45"/>
  <c r="E111" i="45" s="1"/>
  <c r="D112" i="45"/>
  <c r="E112" i="45" s="1"/>
  <c r="D113" i="45"/>
  <c r="E113" i="45" s="1"/>
  <c r="D114" i="45"/>
  <c r="E114" i="45" s="1"/>
  <c r="D115" i="45"/>
  <c r="E115" i="45" s="1"/>
  <c r="D116" i="45"/>
  <c r="E116" i="45" s="1"/>
  <c r="D117" i="45"/>
  <c r="E117" i="45" s="1"/>
  <c r="D118" i="45"/>
  <c r="E118" i="45" s="1"/>
  <c r="D119" i="45"/>
  <c r="E119" i="45" s="1"/>
  <c r="D120" i="45"/>
  <c r="E120" i="45" s="1"/>
  <c r="D121" i="45"/>
  <c r="E121" i="45" s="1"/>
  <c r="D122" i="45"/>
  <c r="E122" i="45" s="1"/>
  <c r="D123" i="45"/>
  <c r="E123" i="45" s="1"/>
  <c r="D124" i="45"/>
  <c r="E124" i="45" s="1"/>
  <c r="D125" i="45"/>
  <c r="E125" i="45" s="1"/>
  <c r="D129" i="45"/>
  <c r="E129" i="45" s="1"/>
  <c r="D131" i="45"/>
  <c r="E131" i="45" s="1"/>
  <c r="D132" i="45"/>
  <c r="E132" i="45" s="1"/>
  <c r="D133" i="45"/>
  <c r="E133" i="45" s="1"/>
  <c r="D134" i="45"/>
  <c r="E134" i="45" s="1"/>
  <c r="D135" i="45"/>
  <c r="E135" i="45" s="1"/>
  <c r="D136" i="45"/>
  <c r="E136" i="45" s="1"/>
  <c r="D137" i="45"/>
  <c r="E137" i="45" s="1"/>
  <c r="D138" i="45"/>
  <c r="E138" i="45" s="1"/>
  <c r="D139" i="45"/>
  <c r="E139" i="45" s="1"/>
  <c r="D140" i="45"/>
  <c r="E140" i="45" s="1"/>
  <c r="D141" i="45"/>
  <c r="E141" i="45" s="1"/>
  <c r="D142" i="45"/>
  <c r="E142" i="45" s="1"/>
  <c r="D143" i="45"/>
  <c r="E143" i="45" s="1"/>
  <c r="D144" i="45"/>
  <c r="E144" i="45" s="1"/>
  <c r="D145" i="45"/>
  <c r="E145" i="45" s="1"/>
  <c r="D146" i="45"/>
  <c r="E146" i="45" s="1"/>
  <c r="D147" i="45"/>
  <c r="E147" i="45" s="1"/>
  <c r="D148" i="45"/>
  <c r="E148" i="45" s="1"/>
  <c r="D149" i="45"/>
  <c r="E149" i="45" s="1"/>
  <c r="D150" i="45"/>
  <c r="E150" i="45" s="1"/>
  <c r="D151" i="45"/>
  <c r="E151" i="45" s="1"/>
  <c r="D152" i="45"/>
  <c r="E152" i="45" s="1"/>
  <c r="D153" i="45"/>
  <c r="E153" i="45" s="1"/>
  <c r="D154" i="45"/>
  <c r="E154" i="45" s="1"/>
  <c r="D155" i="45"/>
  <c r="E155" i="45" s="1"/>
  <c r="D156" i="45"/>
  <c r="E156" i="45" s="1"/>
  <c r="D158" i="45"/>
  <c r="E158" i="45" s="1"/>
  <c r="D159" i="45"/>
  <c r="E159" i="45" s="1"/>
  <c r="D160" i="45"/>
  <c r="E160" i="45" s="1"/>
  <c r="D161" i="45"/>
  <c r="E161" i="45" s="1"/>
  <c r="D162" i="45"/>
  <c r="E162" i="45" s="1"/>
  <c r="D163" i="45"/>
  <c r="E163" i="45" s="1"/>
  <c r="D164" i="45"/>
  <c r="E164" i="45" s="1"/>
  <c r="D165" i="45"/>
  <c r="E165" i="45" s="1"/>
  <c r="D166" i="45"/>
  <c r="E166" i="45" s="1"/>
  <c r="D167" i="45"/>
  <c r="E167" i="45" s="1"/>
  <c r="D168" i="45"/>
  <c r="E168" i="45" s="1"/>
  <c r="D169" i="45"/>
  <c r="E169" i="45" s="1"/>
  <c r="D170" i="45"/>
  <c r="E170" i="45" s="1"/>
  <c r="D171" i="45"/>
  <c r="E171" i="45" s="1"/>
  <c r="D172" i="45"/>
  <c r="E172" i="45" s="1"/>
  <c r="D174" i="45"/>
  <c r="E174" i="45" s="1"/>
  <c r="D176" i="45"/>
  <c r="E176" i="45" s="1"/>
  <c r="D177" i="45"/>
  <c r="E177" i="45" s="1"/>
  <c r="D178" i="45"/>
  <c r="E178" i="45" s="1"/>
  <c r="D179" i="45"/>
  <c r="E179" i="45" s="1"/>
  <c r="D180" i="45"/>
  <c r="E180" i="45" s="1"/>
  <c r="D181" i="45"/>
  <c r="E181" i="45" s="1"/>
  <c r="D182" i="45"/>
  <c r="E182" i="45" s="1"/>
  <c r="D183" i="45"/>
  <c r="E183" i="45" s="1"/>
  <c r="D184" i="45"/>
  <c r="E184" i="45" s="1"/>
  <c r="D185" i="45"/>
  <c r="E185" i="45" s="1"/>
  <c r="D186" i="45"/>
  <c r="E186" i="45" s="1"/>
  <c r="D187" i="45"/>
  <c r="E187" i="45" s="1"/>
  <c r="D188" i="45"/>
  <c r="E188" i="45" s="1"/>
  <c r="D189" i="45"/>
  <c r="E189" i="45" s="1"/>
  <c r="D190" i="45"/>
  <c r="E190" i="45" s="1"/>
  <c r="D191" i="45"/>
  <c r="E191" i="45" s="1"/>
  <c r="D192" i="45"/>
  <c r="E192" i="45" s="1"/>
  <c r="D193" i="45"/>
  <c r="E193" i="45" s="1"/>
  <c r="D194" i="45"/>
  <c r="E194" i="45" s="1"/>
  <c r="D195" i="45"/>
  <c r="E195" i="45" s="1"/>
  <c r="D196" i="45"/>
  <c r="E196" i="45" s="1"/>
  <c r="D197" i="45"/>
  <c r="E197" i="45" s="1"/>
  <c r="D198" i="45"/>
  <c r="E198" i="45" s="1"/>
  <c r="D201" i="45"/>
  <c r="E201" i="45" s="1"/>
  <c r="D202" i="45"/>
  <c r="E202" i="45" s="1"/>
  <c r="D203" i="45"/>
  <c r="E203" i="45" s="1"/>
  <c r="D204" i="45"/>
  <c r="E204" i="45" s="1"/>
  <c r="D205" i="45"/>
  <c r="E205" i="45" s="1"/>
  <c r="D206" i="45"/>
  <c r="E206" i="45" s="1"/>
  <c r="D207" i="45"/>
  <c r="E207" i="45" s="1"/>
  <c r="D208" i="45"/>
  <c r="E208" i="45" s="1"/>
  <c r="D209" i="45"/>
  <c r="E209" i="45" s="1"/>
  <c r="D210" i="45"/>
  <c r="E210" i="45" s="1"/>
  <c r="D211" i="45"/>
  <c r="E211" i="45" s="1"/>
  <c r="D212" i="45"/>
  <c r="E212" i="45" s="1"/>
  <c r="D216" i="45"/>
  <c r="E216" i="45" s="1"/>
  <c r="D217" i="45"/>
  <c r="E217" i="45" s="1"/>
  <c r="D218" i="45"/>
  <c r="E218" i="45" s="1"/>
  <c r="D219" i="45"/>
  <c r="E219" i="45" s="1"/>
  <c r="D220" i="45"/>
  <c r="E220" i="45" s="1"/>
  <c r="D221" i="45"/>
  <c r="E221" i="45" s="1"/>
  <c r="D222" i="45"/>
  <c r="E222" i="45" s="1"/>
  <c r="D223" i="45"/>
  <c r="E223" i="45" s="1"/>
  <c r="D224" i="45"/>
  <c r="E224" i="45" s="1"/>
  <c r="D225" i="45"/>
  <c r="E225" i="45" s="1"/>
  <c r="D226" i="45"/>
  <c r="E226" i="45" s="1"/>
  <c r="D230" i="45"/>
  <c r="E230" i="45" s="1"/>
  <c r="D231" i="45"/>
  <c r="E231" i="45" s="1"/>
  <c r="D232" i="45"/>
  <c r="E232" i="45" s="1"/>
  <c r="D233" i="45"/>
  <c r="E233" i="45" s="1"/>
  <c r="D234" i="45"/>
  <c r="E234" i="45" s="1"/>
  <c r="D235" i="45"/>
  <c r="E235" i="45" s="1"/>
  <c r="D236" i="45"/>
  <c r="E236" i="45" s="1"/>
  <c r="D237" i="45"/>
  <c r="E237" i="45" s="1"/>
  <c r="D238" i="45"/>
  <c r="E238" i="45" s="1"/>
  <c r="D239" i="45"/>
  <c r="E239" i="45" s="1"/>
  <c r="D240" i="45"/>
  <c r="E240" i="45" s="1"/>
  <c r="D241" i="45"/>
  <c r="E241" i="45" s="1"/>
  <c r="D242" i="45"/>
  <c r="E242" i="45" s="1"/>
  <c r="D243" i="45"/>
  <c r="E243" i="45" s="1"/>
  <c r="D244" i="45"/>
  <c r="E244" i="45" s="1"/>
  <c r="D245" i="45"/>
  <c r="E245" i="45" s="1"/>
  <c r="D246" i="45"/>
  <c r="E246" i="45" s="1"/>
  <c r="D247" i="45"/>
  <c r="E247" i="45" s="1"/>
  <c r="D248" i="45"/>
  <c r="E248" i="45" s="1"/>
  <c r="D249" i="45"/>
  <c r="E249" i="45" s="1"/>
  <c r="D250" i="45"/>
  <c r="E250" i="45" s="1"/>
  <c r="D251" i="45"/>
  <c r="E251" i="45" s="1"/>
  <c r="D252" i="45"/>
  <c r="E252" i="45" s="1"/>
  <c r="D253" i="45"/>
  <c r="E253" i="45" s="1"/>
  <c r="D254" i="45"/>
  <c r="E254" i="45" s="1"/>
  <c r="D255" i="45"/>
  <c r="E255" i="45" s="1"/>
  <c r="D256" i="45"/>
  <c r="E256" i="45" s="1"/>
  <c r="D258" i="45"/>
  <c r="E258" i="45" s="1"/>
  <c r="D259" i="45"/>
  <c r="E259" i="45" s="1"/>
  <c r="D260" i="45"/>
  <c r="E260" i="45" s="1"/>
  <c r="D261" i="45"/>
  <c r="E261" i="45" s="1"/>
  <c r="D262" i="45"/>
  <c r="E262" i="45" s="1"/>
  <c r="D265" i="45"/>
  <c r="E265" i="45" s="1"/>
  <c r="D266" i="45"/>
  <c r="E266" i="45" s="1"/>
  <c r="D267" i="45"/>
  <c r="E267" i="45" s="1"/>
  <c r="D268" i="45"/>
  <c r="E268" i="45" s="1"/>
  <c r="D269" i="45"/>
  <c r="E269" i="45" s="1"/>
  <c r="D271" i="45"/>
  <c r="E271" i="45" s="1"/>
  <c r="D272" i="45"/>
  <c r="E272" i="45" s="1"/>
  <c r="D273" i="45"/>
  <c r="E273" i="45" s="1"/>
  <c r="D274" i="45"/>
  <c r="E274" i="45" s="1"/>
  <c r="D275" i="45"/>
  <c r="E275" i="45" s="1"/>
  <c r="D276" i="45"/>
  <c r="E276" i="45" s="1"/>
  <c r="D277" i="45"/>
  <c r="E277" i="45" s="1"/>
  <c r="D278" i="45"/>
  <c r="E278" i="45" s="1"/>
  <c r="D279" i="45"/>
  <c r="E279" i="45" s="1"/>
  <c r="D280" i="45"/>
  <c r="E280" i="45" s="1"/>
  <c r="D281" i="45"/>
  <c r="E281" i="45" s="1"/>
  <c r="D282" i="45"/>
  <c r="E282" i="45" s="1"/>
  <c r="D283" i="45"/>
  <c r="E283" i="45" s="1"/>
  <c r="D284" i="45"/>
  <c r="E284" i="45" s="1"/>
  <c r="D285" i="45"/>
  <c r="E285" i="45" s="1"/>
  <c r="D286" i="45"/>
  <c r="E286" i="45" s="1"/>
  <c r="D199" i="45"/>
  <c r="E199" i="45" s="1"/>
  <c r="D200" i="45"/>
  <c r="E200" i="45" s="1"/>
  <c r="D213" i="45"/>
  <c r="E213" i="45" s="1"/>
  <c r="D214" i="45"/>
  <c r="E214" i="45" s="1"/>
  <c r="D215" i="45"/>
  <c r="E215" i="45" s="1"/>
  <c r="D227" i="45"/>
  <c r="E227" i="45" s="1"/>
  <c r="D228" i="45"/>
  <c r="E228" i="45" s="1"/>
  <c r="D229" i="45"/>
  <c r="E229" i="45" s="1"/>
  <c r="D257" i="45"/>
  <c r="E257" i="45" s="1"/>
  <c r="D263" i="45"/>
  <c r="E263" i="45" s="1"/>
  <c r="D46" i="45"/>
  <c r="E46" i="45" s="1"/>
  <c r="D270" i="45"/>
  <c r="E270" i="45" s="1"/>
  <c r="D292" i="45"/>
  <c r="E292" i="45" s="1"/>
  <c r="D287" i="45"/>
  <c r="E287" i="45" s="1"/>
  <c r="D288" i="45"/>
  <c r="E288" i="45" s="1"/>
  <c r="D289" i="45"/>
  <c r="E289" i="45" s="1"/>
  <c r="D290" i="45"/>
  <c r="E290" i="45" s="1"/>
  <c r="D291" i="45"/>
  <c r="E291" i="45" s="1"/>
  <c r="D293" i="45"/>
  <c r="E293" i="45" s="1"/>
  <c r="D294" i="45"/>
  <c r="E294" i="45" s="1"/>
  <c r="D295" i="45"/>
  <c r="E295" i="45" s="1"/>
  <c r="D296" i="45"/>
  <c r="E296" i="45" s="1"/>
  <c r="D297" i="45"/>
  <c r="E297" i="45" s="1"/>
  <c r="D299" i="45"/>
  <c r="E299" i="45" s="1"/>
  <c r="D301" i="45"/>
  <c r="E301" i="45" s="1"/>
  <c r="D302" i="45"/>
  <c r="E302" i="45" s="1"/>
  <c r="D157" i="45"/>
  <c r="E157" i="45" s="1"/>
  <c r="D303" i="45"/>
  <c r="E303" i="45" s="1"/>
  <c r="D304" i="45"/>
  <c r="E304" i="45" s="1"/>
  <c r="D305" i="45"/>
  <c r="E305" i="45" s="1"/>
  <c r="D103" i="45"/>
  <c r="E103" i="45" s="1"/>
  <c r="D306" i="45"/>
  <c r="E306" i="45" s="1"/>
  <c r="D308" i="45"/>
  <c r="E308" i="45" s="1"/>
  <c r="D309" i="45"/>
  <c r="E309" i="45" s="1"/>
  <c r="D310" i="45"/>
  <c r="E310" i="45" s="1"/>
  <c r="D313" i="45"/>
  <c r="E313" i="45" s="1"/>
  <c r="D314" i="45"/>
  <c r="E314" i="45" s="1"/>
  <c r="D315" i="45"/>
  <c r="E315" i="45" s="1"/>
  <c r="D318" i="45"/>
  <c r="E318" i="45" s="1"/>
  <c r="D319" i="45"/>
  <c r="E319" i="45" s="1"/>
  <c r="D322" i="45"/>
  <c r="E322" i="45" s="1"/>
  <c r="D323" i="45"/>
  <c r="E323" i="45" s="1"/>
  <c r="D325" i="45"/>
  <c r="E325" i="45" s="1"/>
  <c r="D326" i="45"/>
  <c r="E326" i="45" s="1"/>
  <c r="D327" i="45"/>
  <c r="E327" i="45" s="1"/>
  <c r="D328" i="45"/>
  <c r="E328" i="45" s="1"/>
  <c r="D329" i="45"/>
  <c r="E329" i="45" s="1"/>
  <c r="D330" i="45"/>
  <c r="E330" i="45" s="1"/>
  <c r="D331" i="45"/>
  <c r="E331" i="45" s="1"/>
  <c r="D332" i="45"/>
  <c r="E332" i="45" s="1"/>
  <c r="D333" i="45"/>
  <c r="E333" i="45" s="1"/>
  <c r="D334" i="45"/>
  <c r="E334" i="45" s="1"/>
  <c r="D335" i="45"/>
  <c r="E335" i="45" s="1"/>
  <c r="D336" i="45"/>
  <c r="E336" i="45" s="1"/>
  <c r="D337" i="45"/>
  <c r="E337" i="45" s="1"/>
  <c r="D338" i="45"/>
  <c r="E338" i="45" s="1"/>
  <c r="D339" i="45"/>
  <c r="E339" i="45" s="1"/>
  <c r="D340" i="45"/>
  <c r="E340" i="45" s="1"/>
  <c r="D341" i="45"/>
  <c r="E341" i="45" s="1"/>
  <c r="D342" i="45"/>
  <c r="E342" i="45" s="1"/>
  <c r="D343" i="45"/>
  <c r="E343" i="45" s="1"/>
  <c r="D344" i="45"/>
  <c r="E344" i="45" s="1"/>
  <c r="D345" i="45"/>
  <c r="E345" i="45" s="1"/>
  <c r="D346" i="45"/>
  <c r="E346" i="45" s="1"/>
  <c r="D347" i="45"/>
  <c r="E347" i="45" s="1"/>
  <c r="D348" i="45"/>
  <c r="E348" i="45" s="1"/>
  <c r="D349" i="45"/>
  <c r="E349" i="45" s="1"/>
  <c r="D350" i="45"/>
  <c r="E350" i="45" s="1"/>
  <c r="D351" i="45"/>
  <c r="E351" i="45" s="1"/>
  <c r="D352" i="45"/>
  <c r="E352" i="45" s="1"/>
  <c r="D353" i="45"/>
  <c r="E353" i="45" s="1"/>
  <c r="D354" i="45"/>
  <c r="E354" i="45" s="1"/>
  <c r="D355" i="45"/>
  <c r="E355" i="45" s="1"/>
  <c r="D356" i="45"/>
  <c r="E356" i="45" s="1"/>
  <c r="D357" i="45"/>
  <c r="E357" i="45" s="1"/>
  <c r="D358" i="45"/>
  <c r="E358" i="45" s="1"/>
  <c r="D359" i="45"/>
  <c r="E359" i="45" s="1"/>
  <c r="D360" i="45"/>
  <c r="E360" i="45" s="1"/>
  <c r="D361" i="45"/>
  <c r="E361" i="45" s="1"/>
  <c r="D362" i="45"/>
  <c r="E362" i="45" s="1"/>
  <c r="D363" i="45"/>
  <c r="E363" i="45" s="1"/>
  <c r="D364" i="45"/>
  <c r="E364" i="45" s="1"/>
  <c r="D365" i="45"/>
  <c r="E365" i="45" s="1"/>
  <c r="D366" i="45"/>
  <c r="E366" i="45" s="1"/>
  <c r="D367" i="45"/>
  <c r="E367" i="45" s="1"/>
  <c r="D368" i="45"/>
  <c r="E368" i="45" s="1"/>
  <c r="D369" i="45"/>
  <c r="E369" i="45" s="1"/>
  <c r="D370" i="45"/>
  <c r="E370" i="45" s="1"/>
  <c r="D371" i="45"/>
  <c r="E371" i="45" s="1"/>
  <c r="D372" i="45"/>
  <c r="E372" i="45" s="1"/>
  <c r="D373" i="45"/>
  <c r="E373" i="45" s="1"/>
  <c r="D374" i="45"/>
  <c r="E374" i="45" s="1"/>
  <c r="D375" i="45"/>
  <c r="E375" i="45" s="1"/>
  <c r="D376" i="45"/>
  <c r="E376" i="45" s="1"/>
  <c r="D377" i="45"/>
  <c r="E377" i="45" s="1"/>
  <c r="D378" i="45"/>
  <c r="E378" i="45" s="1"/>
  <c r="D379" i="45"/>
  <c r="E379" i="45" s="1"/>
  <c r="D380" i="45"/>
  <c r="E380" i="45" s="1"/>
  <c r="D381" i="45"/>
  <c r="E381" i="45" s="1"/>
  <c r="D382" i="45"/>
  <c r="E382" i="45" s="1"/>
  <c r="D383" i="45"/>
  <c r="E383" i="45" s="1"/>
  <c r="D384" i="45"/>
  <c r="E384" i="45" s="1"/>
  <c r="D385" i="45"/>
  <c r="E385" i="45" s="1"/>
  <c r="D386" i="45"/>
  <c r="E386" i="45" s="1"/>
  <c r="D387" i="45"/>
  <c r="E387" i="45" s="1"/>
  <c r="D388" i="45"/>
  <c r="E388" i="45" s="1"/>
  <c r="D389" i="45"/>
  <c r="E389" i="45" s="1"/>
  <c r="D390" i="45"/>
  <c r="E390" i="45" s="1"/>
  <c r="D391" i="45"/>
  <c r="E391" i="45" s="1"/>
  <c r="D392" i="45"/>
  <c r="E392" i="45" s="1"/>
  <c r="D393" i="45"/>
  <c r="E393" i="45" s="1"/>
  <c r="D394" i="45"/>
  <c r="E394" i="45" s="1"/>
  <c r="D395" i="45"/>
  <c r="E395" i="45" s="1"/>
  <c r="D396" i="45"/>
  <c r="E396" i="45" s="1"/>
  <c r="D397" i="45"/>
  <c r="E397" i="45" s="1"/>
  <c r="D399" i="45"/>
  <c r="E399" i="45" s="1"/>
  <c r="D400" i="45"/>
  <c r="E400" i="45" s="1"/>
  <c r="D401" i="45"/>
  <c r="E401" i="45" s="1"/>
  <c r="D402" i="45"/>
  <c r="E402" i="45" s="1"/>
  <c r="D403" i="45"/>
  <c r="E403" i="45" s="1"/>
  <c r="D404" i="45"/>
  <c r="E404" i="45" s="1"/>
  <c r="D405" i="45"/>
  <c r="E405" i="45" s="1"/>
  <c r="D406" i="45"/>
  <c r="E406" i="45" s="1"/>
  <c r="D407" i="45"/>
  <c r="E407" i="45" s="1"/>
  <c r="D408" i="45"/>
  <c r="E408" i="45" s="1"/>
  <c r="D409" i="45"/>
  <c r="E409" i="45" s="1"/>
  <c r="D410" i="45"/>
  <c r="E410" i="45" s="1"/>
  <c r="D411" i="45"/>
  <c r="E411" i="45" s="1"/>
  <c r="D412" i="45"/>
  <c r="E412" i="45" s="1"/>
  <c r="D413" i="45"/>
  <c r="E413" i="45" s="1"/>
  <c r="D414" i="45"/>
  <c r="E414" i="45" s="1"/>
  <c r="D415" i="45"/>
  <c r="E415" i="45" s="1"/>
  <c r="D416" i="45"/>
  <c r="E416" i="45" s="1"/>
  <c r="D417" i="45"/>
  <c r="E417" i="45" s="1"/>
  <c r="D418" i="45"/>
  <c r="E418" i="45" s="1"/>
  <c r="D419" i="45"/>
  <c r="E419" i="45" s="1"/>
  <c r="D420" i="45"/>
  <c r="E420" i="45" s="1"/>
  <c r="D421" i="45"/>
  <c r="E421" i="45" s="1"/>
  <c r="D422" i="45"/>
  <c r="E422" i="45" s="1"/>
  <c r="D423" i="45"/>
  <c r="E423" i="45" s="1"/>
  <c r="D424" i="45"/>
  <c r="E424" i="45" s="1"/>
  <c r="D425" i="45"/>
  <c r="E425" i="45" s="1"/>
  <c r="D426" i="45"/>
  <c r="E426" i="45" s="1"/>
  <c r="D427" i="45"/>
  <c r="E427" i="45" s="1"/>
  <c r="D428" i="45"/>
  <c r="E428" i="45" s="1"/>
  <c r="D429" i="45"/>
  <c r="E429" i="45" s="1"/>
  <c r="D430" i="45"/>
  <c r="E430" i="45" s="1"/>
  <c r="D431" i="45"/>
  <c r="E431" i="45" s="1"/>
  <c r="D432" i="45"/>
  <c r="E432" i="45" s="1"/>
  <c r="D433" i="45"/>
  <c r="E433" i="45" s="1"/>
  <c r="D434" i="45"/>
  <c r="E434" i="45" s="1"/>
  <c r="D435" i="45"/>
  <c r="E435" i="45" s="1"/>
  <c r="D436" i="45"/>
  <c r="E436" i="45" s="1"/>
  <c r="D437" i="45"/>
  <c r="E437" i="45" s="1"/>
  <c r="D438" i="45"/>
  <c r="E438" i="45" s="1"/>
  <c r="D439" i="45"/>
  <c r="E439" i="45" s="1"/>
  <c r="D440" i="45"/>
  <c r="E440" i="45" s="1"/>
  <c r="D441" i="45"/>
  <c r="E441" i="45" s="1"/>
  <c r="D442" i="45"/>
  <c r="E442" i="45" s="1"/>
  <c r="D443" i="45"/>
  <c r="E443" i="45" s="1"/>
  <c r="D444" i="45"/>
  <c r="E444" i="45" s="1"/>
  <c r="D445" i="45"/>
  <c r="E445" i="45" s="1"/>
  <c r="D446" i="45"/>
  <c r="E446" i="45" s="1"/>
  <c r="D447" i="45"/>
  <c r="E447" i="45" s="1"/>
  <c r="D448" i="45"/>
  <c r="E448" i="45" s="1"/>
  <c r="D449" i="45"/>
  <c r="E449" i="45" s="1"/>
  <c r="D450" i="45"/>
  <c r="E450" i="45" s="1"/>
  <c r="D451" i="45"/>
  <c r="E451" i="45" s="1"/>
  <c r="D452" i="45"/>
  <c r="E452" i="45" s="1"/>
  <c r="D453" i="45"/>
  <c r="E453" i="45" s="1"/>
  <c r="D454" i="45"/>
  <c r="E454" i="45" s="1"/>
  <c r="D455" i="45"/>
  <c r="E455" i="45" s="1"/>
  <c r="D456" i="45"/>
  <c r="E456" i="45" s="1"/>
  <c r="D457" i="45"/>
  <c r="E457" i="45" s="1"/>
  <c r="D458" i="45"/>
  <c r="E458" i="45" s="1"/>
  <c r="D459" i="45"/>
  <c r="E459" i="45" s="1"/>
  <c r="D460" i="45"/>
  <c r="E460" i="45" s="1"/>
  <c r="D461" i="45"/>
  <c r="E461" i="45" s="1"/>
  <c r="D462" i="45"/>
  <c r="E462" i="45" s="1"/>
  <c r="D463" i="45"/>
  <c r="E463" i="45" s="1"/>
  <c r="D464" i="45"/>
  <c r="E464" i="45" s="1"/>
  <c r="D465" i="45"/>
  <c r="E465" i="45" s="1"/>
  <c r="D466" i="45"/>
  <c r="E466" i="45" s="1"/>
  <c r="D467" i="45"/>
  <c r="E467" i="45" s="1"/>
  <c r="D468" i="45"/>
  <c r="E468" i="45" s="1"/>
  <c r="D469" i="45"/>
  <c r="E469" i="45" s="1"/>
  <c r="D470" i="45"/>
  <c r="E470" i="45" s="1"/>
  <c r="D471" i="45"/>
  <c r="E471" i="45" s="1"/>
  <c r="D472" i="45"/>
  <c r="E472" i="45" s="1"/>
  <c r="D473" i="45"/>
  <c r="E473" i="45" s="1"/>
  <c r="D474" i="45"/>
  <c r="E474" i="45" s="1"/>
  <c r="D475" i="45"/>
  <c r="E475" i="45" s="1"/>
  <c r="D476" i="45"/>
  <c r="E476" i="45" s="1"/>
  <c r="D477" i="45"/>
  <c r="E477" i="45" s="1"/>
  <c r="D478" i="45"/>
  <c r="E478" i="45" s="1"/>
  <c r="D479" i="45"/>
  <c r="E479" i="45" s="1"/>
  <c r="D480" i="45"/>
  <c r="E480" i="45" s="1"/>
  <c r="D481" i="45"/>
  <c r="E481" i="45" s="1"/>
  <c r="D482" i="45"/>
  <c r="E482" i="45" s="1"/>
  <c r="D483" i="45"/>
  <c r="E483" i="45" s="1"/>
  <c r="D484" i="45"/>
  <c r="E484" i="45" s="1"/>
  <c r="D485" i="45"/>
  <c r="E485" i="45" s="1"/>
  <c r="D486" i="45"/>
  <c r="E486" i="45" s="1"/>
  <c r="D487" i="45"/>
  <c r="E487" i="45" s="1"/>
  <c r="D488" i="45"/>
  <c r="E488" i="45" s="1"/>
  <c r="D489" i="45"/>
  <c r="E489" i="45" s="1"/>
  <c r="D490" i="45"/>
  <c r="E490" i="45" s="1"/>
  <c r="D491" i="45"/>
  <c r="E491" i="45" s="1"/>
  <c r="D492" i="45"/>
  <c r="E492" i="45" s="1"/>
  <c r="D493" i="45"/>
  <c r="E493" i="45" s="1"/>
  <c r="D494" i="45"/>
  <c r="E494" i="45" s="1"/>
  <c r="D495" i="45"/>
  <c r="E495" i="45" s="1"/>
  <c r="D496" i="45"/>
  <c r="E496" i="45" s="1"/>
  <c r="D497" i="45"/>
  <c r="E497" i="45" s="1"/>
  <c r="D498" i="45"/>
  <c r="E498" i="45" s="1"/>
  <c r="D499" i="45"/>
  <c r="E499" i="45" s="1"/>
  <c r="D500" i="45"/>
  <c r="E500" i="45" s="1"/>
  <c r="D501" i="45"/>
  <c r="E501" i="45" s="1"/>
  <c r="D502" i="45"/>
  <c r="E502" i="45" s="1"/>
  <c r="D503" i="45"/>
  <c r="E503" i="45" s="1"/>
  <c r="D504" i="45"/>
  <c r="E504" i="45" s="1"/>
  <c r="D505" i="45"/>
  <c r="E505" i="45" s="1"/>
  <c r="D506" i="45"/>
  <c r="E506" i="45" s="1"/>
  <c r="D507" i="45"/>
  <c r="E507" i="45" s="1"/>
  <c r="D508" i="45"/>
  <c r="E508" i="45" s="1"/>
  <c r="D509" i="45"/>
  <c r="E509" i="45" s="1"/>
  <c r="D510" i="45"/>
  <c r="E510" i="45" s="1"/>
  <c r="D511" i="45"/>
  <c r="E511" i="45" s="1"/>
  <c r="D512" i="45"/>
  <c r="E512" i="45" s="1"/>
  <c r="D513" i="45"/>
  <c r="E513" i="45" s="1"/>
  <c r="D514" i="45"/>
  <c r="E514" i="45" s="1"/>
  <c r="D515" i="45"/>
  <c r="E515" i="45" s="1"/>
  <c r="D516" i="45"/>
  <c r="E516" i="45" s="1"/>
  <c r="D517" i="45"/>
  <c r="E517" i="45" s="1"/>
  <c r="D518" i="45"/>
  <c r="E518" i="45" s="1"/>
  <c r="D519" i="45"/>
  <c r="E519" i="45" s="1"/>
  <c r="D520" i="45"/>
  <c r="E520" i="45" s="1"/>
  <c r="D521" i="45"/>
  <c r="E521" i="45" s="1"/>
  <c r="D522" i="45"/>
  <c r="E522" i="45" s="1"/>
  <c r="D523" i="45"/>
  <c r="E523" i="45" s="1"/>
  <c r="D524" i="45"/>
  <c r="E524" i="45" s="1"/>
  <c r="D525" i="45"/>
  <c r="E525" i="45" s="1"/>
  <c r="D526" i="45"/>
  <c r="E526" i="45" s="1"/>
  <c r="D527" i="45"/>
  <c r="E527" i="45" s="1"/>
  <c r="D528" i="45"/>
  <c r="E528" i="45" s="1"/>
  <c r="D529" i="45"/>
  <c r="E529" i="45" s="1"/>
  <c r="D530" i="45"/>
  <c r="E530" i="45" s="1"/>
  <c r="D531" i="45"/>
  <c r="E531" i="45" s="1"/>
  <c r="D532" i="45"/>
  <c r="E532" i="45" s="1"/>
  <c r="D533" i="45"/>
  <c r="E533" i="45" s="1"/>
  <c r="D534" i="45"/>
  <c r="E534" i="45" s="1"/>
  <c r="D535" i="45"/>
  <c r="E535" i="45" s="1"/>
  <c r="D536" i="45"/>
  <c r="E536" i="45" s="1"/>
  <c r="D537" i="45"/>
  <c r="E537" i="45" s="1"/>
  <c r="D538" i="45"/>
  <c r="E538" i="45" s="1"/>
  <c r="D539" i="45"/>
  <c r="E539" i="45" s="1"/>
  <c r="D540" i="45"/>
  <c r="E540" i="45" s="1"/>
  <c r="D541" i="45"/>
  <c r="E541" i="45" s="1"/>
  <c r="D542" i="45"/>
  <c r="E542" i="45" s="1"/>
  <c r="D543" i="45"/>
  <c r="E543" i="45" s="1"/>
  <c r="D544" i="45"/>
  <c r="E544" i="45" s="1"/>
  <c r="D545" i="45"/>
  <c r="E545" i="45" s="1"/>
  <c r="D546" i="45"/>
  <c r="E546" i="45" s="1"/>
  <c r="D547" i="45"/>
  <c r="E547" i="45" s="1"/>
  <c r="D548" i="45"/>
  <c r="E548" i="45" s="1"/>
  <c r="D549" i="45"/>
  <c r="E549" i="45" s="1"/>
  <c r="D550" i="45"/>
  <c r="E550" i="45" s="1"/>
  <c r="D551" i="45"/>
  <c r="E551" i="45" s="1"/>
  <c r="D552" i="45"/>
  <c r="E552" i="45" s="1"/>
  <c r="D553" i="45"/>
  <c r="E553" i="45" s="1"/>
  <c r="D554" i="45"/>
  <c r="E554" i="45" s="1"/>
  <c r="D555" i="45"/>
  <c r="E555" i="45" s="1"/>
  <c r="D556" i="45"/>
  <c r="E556" i="45" s="1"/>
  <c r="D557" i="45"/>
  <c r="E557" i="45" s="1"/>
  <c r="D558" i="45"/>
  <c r="E558" i="45" s="1"/>
  <c r="D559" i="45"/>
  <c r="E559" i="45" s="1"/>
  <c r="D560" i="45"/>
  <c r="E560" i="45" s="1"/>
  <c r="D561" i="45"/>
  <c r="E561" i="45" s="1"/>
  <c r="D562" i="45"/>
  <c r="E562" i="45" s="1"/>
  <c r="D563" i="45"/>
  <c r="E563" i="45" s="1"/>
  <c r="D564" i="45"/>
  <c r="E564" i="45" s="1"/>
  <c r="D565" i="45"/>
  <c r="E565" i="45" s="1"/>
  <c r="D566" i="45"/>
  <c r="E566" i="45" s="1"/>
  <c r="D567" i="45"/>
  <c r="E567" i="45" s="1"/>
  <c r="D568" i="45"/>
  <c r="E568" i="45" s="1"/>
  <c r="D569" i="45"/>
  <c r="E569" i="45" s="1"/>
  <c r="D570" i="45"/>
  <c r="E570" i="45" s="1"/>
  <c r="D571" i="45"/>
  <c r="E571" i="45" s="1"/>
  <c r="D572" i="45"/>
  <c r="E572" i="45" s="1"/>
  <c r="D573" i="45"/>
  <c r="E573" i="45" s="1"/>
  <c r="D574" i="45"/>
  <c r="E574" i="45" s="1"/>
  <c r="D575" i="45"/>
  <c r="E575" i="45" s="1"/>
  <c r="D576" i="45"/>
  <c r="E576" i="45" s="1"/>
  <c r="D577" i="45"/>
  <c r="E577" i="45" s="1"/>
  <c r="D578" i="45"/>
  <c r="E578" i="45" s="1"/>
  <c r="D579" i="45"/>
  <c r="E579" i="45" s="1"/>
  <c r="D580" i="45"/>
  <c r="E580" i="45" s="1"/>
  <c r="D581" i="45"/>
  <c r="E581" i="45" s="1"/>
  <c r="D582" i="45"/>
  <c r="E582" i="45" s="1"/>
  <c r="D583" i="45"/>
  <c r="E583" i="45" s="1"/>
  <c r="D584" i="45"/>
  <c r="E584" i="45" s="1"/>
  <c r="D585" i="45"/>
  <c r="E585" i="45" s="1"/>
  <c r="D586" i="45"/>
  <c r="E586" i="45" s="1"/>
  <c r="D587" i="45"/>
  <c r="E587" i="45" s="1"/>
  <c r="D590" i="45"/>
  <c r="E590" i="45" s="1"/>
  <c r="D591" i="45"/>
  <c r="E591" i="45" s="1"/>
  <c r="D592" i="45"/>
  <c r="E592" i="45" s="1"/>
  <c r="D593" i="45"/>
  <c r="E593" i="45" s="1"/>
  <c r="D594" i="45"/>
  <c r="E594" i="45" s="1"/>
  <c r="D595" i="45"/>
  <c r="E595" i="45" s="1"/>
  <c r="D596" i="45"/>
  <c r="E596" i="45" s="1"/>
  <c r="D597" i="45"/>
  <c r="E597" i="45" s="1"/>
  <c r="D598" i="45"/>
  <c r="E598" i="45" s="1"/>
  <c r="D599" i="45"/>
  <c r="E599" i="45" s="1"/>
  <c r="D600" i="45"/>
  <c r="E600" i="45" s="1"/>
  <c r="D602" i="45"/>
  <c r="E602" i="45" s="1"/>
  <c r="D603" i="45"/>
  <c r="E603" i="45" s="1"/>
  <c r="D604" i="45"/>
  <c r="E604" i="45" s="1"/>
  <c r="D605" i="45"/>
  <c r="E605" i="45" s="1"/>
  <c r="D606" i="45"/>
  <c r="E606" i="45" s="1"/>
  <c r="D607" i="45"/>
  <c r="E607" i="45" s="1"/>
  <c r="D608" i="45"/>
  <c r="E608" i="45" s="1"/>
  <c r="D609" i="45"/>
  <c r="E609" i="45" s="1"/>
  <c r="D610" i="45"/>
  <c r="E610" i="45" s="1"/>
  <c r="D611" i="45"/>
  <c r="E611" i="45" s="1"/>
  <c r="D612" i="45"/>
  <c r="E612" i="45" s="1"/>
  <c r="D613" i="45"/>
  <c r="E613" i="45" s="1"/>
  <c r="D614" i="45"/>
  <c r="E614" i="45" s="1"/>
  <c r="D615" i="45"/>
  <c r="E615" i="45" s="1"/>
  <c r="D616" i="45"/>
  <c r="E616" i="45" s="1"/>
  <c r="D617" i="45"/>
  <c r="E617" i="45" s="1"/>
  <c r="D618" i="45"/>
  <c r="E618" i="45" s="1"/>
  <c r="D619" i="45"/>
  <c r="E619" i="45" s="1"/>
  <c r="D620" i="45"/>
  <c r="E620" i="45" s="1"/>
  <c r="D621" i="45"/>
  <c r="E621" i="45" s="1"/>
  <c r="D622" i="45"/>
  <c r="E622" i="45" s="1"/>
  <c r="D623" i="45"/>
  <c r="E623" i="45" s="1"/>
  <c r="D624" i="45"/>
  <c r="E624" i="45" s="1"/>
  <c r="D625" i="45"/>
  <c r="E625" i="45" s="1"/>
  <c r="D626" i="45"/>
  <c r="E626" i="45" s="1"/>
  <c r="D627" i="45"/>
  <c r="E627" i="45" s="1"/>
  <c r="D628" i="45"/>
  <c r="E628" i="45" s="1"/>
  <c r="D629" i="45"/>
  <c r="E629" i="45" s="1"/>
  <c r="D630" i="45"/>
  <c r="E630" i="45" s="1"/>
  <c r="D631" i="45"/>
  <c r="E631" i="45" s="1"/>
  <c r="D632" i="45"/>
  <c r="E632" i="45" s="1"/>
  <c r="D633" i="45"/>
  <c r="E633" i="45" s="1"/>
  <c r="D634" i="45"/>
  <c r="E634" i="45" s="1"/>
  <c r="D635" i="45"/>
  <c r="E635" i="45" s="1"/>
  <c r="D636" i="45"/>
  <c r="E636" i="45" s="1"/>
  <c r="D637" i="45"/>
  <c r="E637" i="45" s="1"/>
  <c r="D638" i="45"/>
  <c r="E638" i="45" s="1"/>
  <c r="D639" i="45"/>
  <c r="E639" i="45" s="1"/>
  <c r="D640" i="45"/>
  <c r="E640" i="45" s="1"/>
  <c r="D641" i="45"/>
  <c r="E641" i="45" s="1"/>
  <c r="D642" i="45"/>
  <c r="E642" i="45" s="1"/>
  <c r="D643" i="45"/>
  <c r="E643" i="45" s="1"/>
  <c r="D644" i="45"/>
  <c r="E644" i="45" s="1"/>
  <c r="D646" i="45"/>
  <c r="E646" i="45" s="1"/>
  <c r="D647" i="45"/>
  <c r="E647" i="45" s="1"/>
  <c r="D648" i="45"/>
  <c r="E648" i="45" s="1"/>
  <c r="D649" i="45"/>
  <c r="E649" i="45" s="1"/>
  <c r="D650" i="45"/>
  <c r="E650" i="45" s="1"/>
  <c r="D651" i="45"/>
  <c r="E651" i="45" s="1"/>
  <c r="D652" i="45"/>
  <c r="E652" i="45" s="1"/>
  <c r="D653" i="45"/>
  <c r="E653" i="45" s="1"/>
  <c r="D654" i="45"/>
  <c r="E654" i="45" s="1"/>
  <c r="D655" i="45"/>
  <c r="E655" i="45" s="1"/>
  <c r="D656" i="45"/>
  <c r="E656" i="45" s="1"/>
  <c r="D657" i="45"/>
  <c r="E657" i="45" s="1"/>
  <c r="D658" i="45"/>
  <c r="E658" i="45" s="1"/>
  <c r="D659" i="45"/>
  <c r="E659" i="45" s="1"/>
  <c r="D660" i="45"/>
  <c r="E660" i="45" s="1"/>
  <c r="D661" i="45"/>
  <c r="E661" i="45" s="1"/>
  <c r="D662" i="45"/>
  <c r="E662" i="45" s="1"/>
  <c r="D663" i="45"/>
  <c r="E663" i="45" s="1"/>
  <c r="D664" i="45"/>
  <c r="E664" i="45" s="1"/>
  <c r="D665" i="45"/>
  <c r="E665" i="45" s="1"/>
  <c r="D666" i="45"/>
  <c r="E666" i="45" s="1"/>
  <c r="D667" i="45"/>
  <c r="E667" i="45" s="1"/>
  <c r="D668" i="45"/>
  <c r="E668" i="45" s="1"/>
  <c r="D669" i="45"/>
  <c r="E669" i="45" s="1"/>
  <c r="D670" i="45"/>
  <c r="E670" i="45" s="1"/>
  <c r="D671" i="45"/>
  <c r="E671" i="45" s="1"/>
  <c r="D672" i="45"/>
  <c r="E672" i="45" s="1"/>
  <c r="D673" i="45"/>
  <c r="E673" i="45" s="1"/>
  <c r="D674" i="45"/>
  <c r="E674" i="45" s="1"/>
  <c r="D675" i="45"/>
  <c r="E675" i="45" s="1"/>
  <c r="D676" i="45"/>
  <c r="E676" i="45" s="1"/>
  <c r="D677" i="45"/>
  <c r="E677" i="45" s="1"/>
  <c r="D678" i="45"/>
  <c r="E678" i="45" s="1"/>
  <c r="D679" i="45"/>
  <c r="E679" i="45" s="1"/>
  <c r="D680" i="45"/>
  <c r="E680" i="45" s="1"/>
  <c r="D681" i="45"/>
  <c r="E681" i="45" s="1"/>
  <c r="D682" i="45"/>
  <c r="E682" i="45" s="1"/>
  <c r="D683" i="45"/>
  <c r="E683" i="45" s="1"/>
  <c r="D684" i="45"/>
  <c r="E684" i="45" s="1"/>
  <c r="D685" i="45"/>
  <c r="E685" i="45" s="1"/>
  <c r="D686" i="45"/>
  <c r="E686" i="45" s="1"/>
  <c r="D687" i="45"/>
  <c r="E687" i="45" s="1"/>
  <c r="D688" i="45"/>
  <c r="E688" i="45" s="1"/>
  <c r="D689" i="45"/>
  <c r="E689" i="45" s="1"/>
  <c r="D690" i="45"/>
  <c r="E690" i="45" s="1"/>
  <c r="D691" i="45"/>
  <c r="E691" i="45" s="1"/>
  <c r="D692" i="45"/>
  <c r="E692" i="45" s="1"/>
  <c r="D693" i="45"/>
  <c r="E693" i="45" s="1"/>
  <c r="D694" i="45"/>
  <c r="E694" i="45" s="1"/>
  <c r="D695" i="45"/>
  <c r="E695" i="45" s="1"/>
  <c r="D696" i="45"/>
  <c r="E696" i="45" s="1"/>
  <c r="D697" i="45"/>
  <c r="E697" i="45" s="1"/>
  <c r="D698" i="45"/>
  <c r="E698" i="45" s="1"/>
  <c r="D699" i="45"/>
  <c r="E699" i="45" s="1"/>
  <c r="D700" i="45"/>
  <c r="E700" i="45" s="1"/>
  <c r="D701" i="45"/>
  <c r="E701" i="45" s="1"/>
  <c r="D702" i="45"/>
  <c r="E702" i="45" s="1"/>
  <c r="D703" i="45"/>
  <c r="E703" i="45" s="1"/>
  <c r="D704" i="45"/>
  <c r="E704" i="45" s="1"/>
  <c r="D705" i="45"/>
  <c r="E705" i="45" s="1"/>
  <c r="D706" i="45"/>
  <c r="E706" i="45" s="1"/>
  <c r="D707" i="45"/>
  <c r="E707" i="45" s="1"/>
  <c r="D708" i="45"/>
  <c r="E708" i="45" s="1"/>
  <c r="D709" i="45"/>
  <c r="E709" i="45" s="1"/>
  <c r="D710" i="45"/>
  <c r="E710" i="45" s="1"/>
  <c r="D711" i="45"/>
  <c r="E711" i="45" s="1"/>
  <c r="D712" i="45"/>
  <c r="E712" i="45" s="1"/>
  <c r="D713" i="45"/>
  <c r="E713" i="45" s="1"/>
  <c r="D714" i="45"/>
  <c r="E714" i="45" s="1"/>
  <c r="D715" i="45"/>
  <c r="E715" i="45" s="1"/>
  <c r="D716" i="45"/>
  <c r="E716" i="45" s="1"/>
  <c r="D717" i="45"/>
  <c r="E717" i="45" s="1"/>
  <c r="D718" i="45"/>
  <c r="E718" i="45" s="1"/>
  <c r="D719" i="45"/>
  <c r="E719" i="45" s="1"/>
  <c r="D720" i="45"/>
  <c r="E720" i="45" s="1"/>
  <c r="D721" i="45"/>
  <c r="E721" i="45" s="1"/>
  <c r="D722" i="45"/>
  <c r="E722" i="45" s="1"/>
  <c r="D723" i="45"/>
  <c r="E723" i="45" s="1"/>
  <c r="D724" i="45"/>
  <c r="E724" i="45" s="1"/>
  <c r="D725" i="45"/>
  <c r="E725" i="45" s="1"/>
  <c r="D726" i="45"/>
  <c r="E726" i="45" s="1"/>
  <c r="D727" i="45"/>
  <c r="E727" i="45" s="1"/>
  <c r="D728" i="45"/>
  <c r="E728" i="45" s="1"/>
  <c r="D729" i="45"/>
  <c r="E729" i="45" s="1"/>
  <c r="D730" i="45"/>
  <c r="E730" i="45" s="1"/>
  <c r="D731" i="45"/>
  <c r="E731" i="45" s="1"/>
  <c r="D732" i="45"/>
  <c r="E732" i="45" s="1"/>
  <c r="D733" i="45"/>
  <c r="E733" i="45" s="1"/>
  <c r="D734" i="45"/>
  <c r="E734" i="45" s="1"/>
  <c r="D735" i="45"/>
  <c r="E735" i="45" s="1"/>
  <c r="D736" i="45"/>
  <c r="E736" i="45" s="1"/>
  <c r="D737" i="45"/>
  <c r="E737" i="45" s="1"/>
  <c r="D738" i="45"/>
  <c r="E738" i="45" s="1"/>
  <c r="D739" i="45"/>
  <c r="E739" i="45" s="1"/>
  <c r="D740" i="45"/>
  <c r="E740" i="45" s="1"/>
  <c r="D741" i="45"/>
  <c r="E741" i="45" s="1"/>
  <c r="D742" i="45"/>
  <c r="E742" i="45" s="1"/>
  <c r="D743" i="45"/>
  <c r="E743" i="45" s="1"/>
  <c r="D744" i="45"/>
  <c r="E744" i="45" s="1"/>
  <c r="D745" i="45"/>
  <c r="E745" i="45" s="1"/>
  <c r="D746" i="45"/>
  <c r="E746" i="45" s="1"/>
  <c r="D747" i="45"/>
  <c r="E747" i="45" s="1"/>
  <c r="D748" i="45"/>
  <c r="E748" i="45" s="1"/>
  <c r="D749" i="45"/>
  <c r="E749" i="45" s="1"/>
  <c r="D750" i="45"/>
  <c r="E750" i="45" s="1"/>
  <c r="D751" i="45"/>
  <c r="E751" i="45" s="1"/>
  <c r="D752" i="45"/>
  <c r="E752" i="45" s="1"/>
  <c r="D753" i="45"/>
  <c r="E753" i="45" s="1"/>
  <c r="D754" i="45"/>
  <c r="E754" i="45" s="1"/>
  <c r="D755" i="45"/>
  <c r="E755" i="45" s="1"/>
  <c r="D756" i="45"/>
  <c r="E756" i="45" s="1"/>
  <c r="D757" i="45"/>
  <c r="E757" i="45" s="1"/>
  <c r="D758" i="45"/>
  <c r="E758" i="45" s="1"/>
  <c r="D759" i="45"/>
  <c r="E759" i="45" s="1"/>
  <c r="D760" i="45"/>
  <c r="E760" i="45" s="1"/>
  <c r="D761" i="45"/>
  <c r="E761" i="45" s="1"/>
  <c r="D762" i="45"/>
  <c r="E762" i="45" s="1"/>
  <c r="D763" i="45"/>
  <c r="E763" i="45" s="1"/>
  <c r="D764" i="45"/>
  <c r="E764" i="45" s="1"/>
  <c r="D765" i="45"/>
  <c r="E765" i="45" s="1"/>
  <c r="D766" i="45"/>
  <c r="E766" i="45" s="1"/>
  <c r="D767" i="45"/>
  <c r="E767" i="45" s="1"/>
  <c r="D768" i="45"/>
  <c r="E768" i="45" s="1"/>
  <c r="D769" i="45"/>
  <c r="E769" i="45" s="1"/>
  <c r="D770" i="45"/>
  <c r="E770" i="45" s="1"/>
  <c r="D771" i="45"/>
  <c r="E771" i="45" s="1"/>
  <c r="D772" i="45"/>
  <c r="E772" i="45" s="1"/>
  <c r="D773" i="45"/>
  <c r="E773" i="45" s="1"/>
  <c r="D774" i="45"/>
  <c r="E774" i="45" s="1"/>
  <c r="D775" i="45"/>
  <c r="E775" i="45" s="1"/>
  <c r="D776" i="45"/>
  <c r="E776" i="45" s="1"/>
  <c r="D777" i="45"/>
  <c r="E777" i="45" s="1"/>
  <c r="D778" i="45"/>
  <c r="E778" i="45" s="1"/>
  <c r="D780" i="45"/>
  <c r="E780" i="45" s="1"/>
  <c r="D781" i="45"/>
  <c r="E781" i="45" s="1"/>
  <c r="D782" i="45"/>
  <c r="E782" i="45" s="1"/>
  <c r="D783" i="45"/>
  <c r="E783" i="45" s="1"/>
  <c r="D784" i="45"/>
  <c r="E784" i="45" s="1"/>
  <c r="D785" i="45"/>
  <c r="E785" i="45" s="1"/>
  <c r="D786" i="45"/>
  <c r="E786" i="45" s="1"/>
  <c r="D787" i="45"/>
  <c r="E787" i="45" s="1"/>
  <c r="D788" i="45"/>
  <c r="E788" i="45" s="1"/>
  <c r="D789" i="45"/>
  <c r="E789" i="45" s="1"/>
  <c r="D790" i="45"/>
  <c r="E790" i="45" s="1"/>
  <c r="D791" i="45"/>
  <c r="E791" i="45" s="1"/>
  <c r="D792" i="45"/>
  <c r="E792" i="45" s="1"/>
  <c r="D793" i="45"/>
  <c r="E793" i="45" s="1"/>
  <c r="D794" i="45"/>
  <c r="E794" i="45" s="1"/>
  <c r="D795" i="45"/>
  <c r="E795" i="45" s="1"/>
  <c r="D796" i="45"/>
  <c r="E796" i="45" s="1"/>
  <c r="D797" i="45"/>
  <c r="E797" i="45" s="1"/>
  <c r="D798" i="45"/>
  <c r="E798" i="45" s="1"/>
  <c r="D799" i="45"/>
  <c r="E799" i="45" s="1"/>
  <c r="D800" i="45"/>
  <c r="E800" i="45" s="1"/>
  <c r="D801" i="45"/>
  <c r="E801" i="45" s="1"/>
  <c r="D802" i="45"/>
  <c r="E802" i="45" s="1"/>
  <c r="D803" i="45"/>
  <c r="E803" i="45" s="1"/>
  <c r="D804" i="45"/>
  <c r="E804" i="45" s="1"/>
  <c r="D805" i="45"/>
  <c r="E805" i="45" s="1"/>
  <c r="D806" i="45"/>
  <c r="E806" i="45" s="1"/>
  <c r="D807" i="45"/>
  <c r="E807" i="45" s="1"/>
  <c r="D808" i="45"/>
  <c r="E808" i="45" s="1"/>
  <c r="D809" i="45"/>
  <c r="E809" i="45" s="1"/>
  <c r="D810" i="45"/>
  <c r="E810" i="45" s="1"/>
  <c r="D811" i="45"/>
  <c r="E811" i="45" s="1"/>
  <c r="D812" i="45"/>
  <c r="E812" i="45" s="1"/>
  <c r="D813" i="45"/>
  <c r="E813" i="45" s="1"/>
  <c r="D814" i="45"/>
  <c r="E814" i="45" s="1"/>
  <c r="D815" i="45"/>
  <c r="E815" i="45" s="1"/>
  <c r="D816" i="45"/>
  <c r="E816" i="45" s="1"/>
  <c r="D817" i="45"/>
  <c r="E817" i="45" s="1"/>
  <c r="D818" i="45"/>
  <c r="E818" i="45" s="1"/>
  <c r="D819" i="45"/>
  <c r="E819" i="45" s="1"/>
  <c r="D820" i="45"/>
  <c r="E820" i="45" s="1"/>
  <c r="D821" i="45"/>
  <c r="E821" i="45" s="1"/>
  <c r="D822" i="45"/>
  <c r="E822" i="45" s="1"/>
  <c r="D823" i="45"/>
  <c r="E823" i="45" s="1"/>
  <c r="D824" i="45"/>
  <c r="E824" i="45" s="1"/>
  <c r="D825" i="45"/>
  <c r="E825" i="45" s="1"/>
  <c r="D826" i="45"/>
  <c r="E826" i="45" s="1"/>
  <c r="D827" i="45"/>
  <c r="E827" i="45" s="1"/>
  <c r="D828" i="45"/>
  <c r="E828" i="45" s="1"/>
  <c r="D829" i="45"/>
  <c r="E829" i="45" s="1"/>
  <c r="D830" i="45"/>
  <c r="E830" i="45" s="1"/>
  <c r="D831" i="45"/>
  <c r="E831" i="45" s="1"/>
  <c r="D832" i="45"/>
  <c r="E832" i="45" s="1"/>
  <c r="D833" i="45"/>
  <c r="E833" i="45" s="1"/>
  <c r="D834" i="45"/>
  <c r="E834" i="45" s="1"/>
  <c r="D835" i="45"/>
  <c r="E835" i="45" s="1"/>
  <c r="D836" i="45"/>
  <c r="E836" i="45" s="1"/>
  <c r="D837" i="45"/>
  <c r="E837" i="45" s="1"/>
  <c r="D838" i="45"/>
  <c r="E838" i="45" s="1"/>
  <c r="D839" i="45"/>
  <c r="E839" i="45" s="1"/>
  <c r="D840" i="45"/>
  <c r="E840" i="45" s="1"/>
  <c r="D841" i="45"/>
  <c r="E841" i="45" s="1"/>
  <c r="D842" i="45"/>
  <c r="E842" i="45" s="1"/>
  <c r="D843" i="45"/>
  <c r="E843" i="45" s="1"/>
  <c r="D844" i="45"/>
  <c r="E844" i="45" s="1"/>
  <c r="D845" i="45"/>
  <c r="E845" i="45" s="1"/>
  <c r="D846" i="45"/>
  <c r="E846" i="45" s="1"/>
  <c r="D847" i="45"/>
  <c r="E847" i="45" s="1"/>
  <c r="D848" i="45"/>
  <c r="E848" i="45" s="1"/>
  <c r="D849" i="45"/>
  <c r="E849" i="45" s="1"/>
  <c r="D850" i="45"/>
  <c r="E850" i="45" s="1"/>
  <c r="D851" i="45"/>
  <c r="E851" i="45" s="1"/>
  <c r="D852" i="45"/>
  <c r="E852" i="45" s="1"/>
  <c r="D853" i="45"/>
  <c r="E853" i="45" s="1"/>
  <c r="D854" i="45"/>
  <c r="E854" i="45" s="1"/>
  <c r="D855" i="45"/>
  <c r="E855" i="45" s="1"/>
  <c r="D856" i="45"/>
  <c r="E856" i="45" s="1"/>
  <c r="D857" i="45"/>
  <c r="E857" i="45" s="1"/>
  <c r="D858" i="45"/>
  <c r="E858" i="45" s="1"/>
  <c r="D859" i="45"/>
  <c r="E859" i="45" s="1"/>
  <c r="D860" i="45"/>
  <c r="E860" i="45" s="1"/>
  <c r="D861" i="45"/>
  <c r="E861" i="45" s="1"/>
  <c r="D862" i="45"/>
  <c r="E862" i="45" s="1"/>
  <c r="D863" i="45"/>
  <c r="E863" i="45" s="1"/>
  <c r="D864" i="45"/>
  <c r="E864" i="45" s="1"/>
  <c r="D865" i="45"/>
  <c r="E865" i="45" s="1"/>
  <c r="D866" i="45"/>
  <c r="E866" i="45" s="1"/>
  <c r="D867" i="45"/>
  <c r="E867" i="45" s="1"/>
  <c r="D868" i="45"/>
  <c r="E868" i="45" s="1"/>
  <c r="D869" i="45"/>
  <c r="E869" i="45" s="1"/>
  <c r="D870" i="45"/>
  <c r="E870" i="45" s="1"/>
  <c r="D871" i="45"/>
  <c r="E871" i="45" s="1"/>
  <c r="D872" i="45"/>
  <c r="E872" i="45" s="1"/>
  <c r="D873" i="45"/>
  <c r="E873" i="45" s="1"/>
  <c r="D874" i="45"/>
  <c r="E874" i="45" s="1"/>
  <c r="D875" i="45"/>
  <c r="E875" i="45" s="1"/>
  <c r="D876" i="45"/>
  <c r="E876" i="45" s="1"/>
  <c r="D877" i="45"/>
  <c r="E877" i="45" s="1"/>
  <c r="D878" i="45"/>
  <c r="E878" i="45" s="1"/>
  <c r="D879" i="45"/>
  <c r="E879" i="45" s="1"/>
  <c r="D880" i="45"/>
  <c r="E880" i="45" s="1"/>
  <c r="D881" i="45"/>
  <c r="E881" i="45" s="1"/>
  <c r="D882" i="45"/>
  <c r="E882" i="45" s="1"/>
  <c r="D883" i="45"/>
  <c r="E883" i="45" s="1"/>
  <c r="D884" i="45"/>
  <c r="E884" i="45" s="1"/>
  <c r="D885" i="45"/>
  <c r="E885" i="45" s="1"/>
  <c r="D886" i="45"/>
  <c r="E886" i="45" s="1"/>
  <c r="D887" i="45"/>
  <c r="E887" i="45" s="1"/>
  <c r="D888" i="45"/>
  <c r="E888" i="45" s="1"/>
  <c r="D889" i="45"/>
  <c r="E889" i="45" s="1"/>
  <c r="D890" i="45"/>
  <c r="E890" i="45" s="1"/>
  <c r="D891" i="45"/>
  <c r="E891" i="45" s="1"/>
  <c r="D892" i="45"/>
  <c r="E892" i="45" s="1"/>
  <c r="D893" i="45"/>
  <c r="E893" i="45" s="1"/>
  <c r="D894" i="45"/>
  <c r="E894" i="45" s="1"/>
  <c r="D895" i="45"/>
  <c r="E895" i="45" s="1"/>
  <c r="D896" i="45"/>
  <c r="E896" i="45" s="1"/>
  <c r="D897" i="45"/>
  <c r="E897" i="45" s="1"/>
  <c r="D898" i="45"/>
  <c r="E898" i="45" s="1"/>
  <c r="D899" i="45"/>
  <c r="E899" i="45" s="1"/>
  <c r="D900" i="45"/>
  <c r="E900" i="45" s="1"/>
  <c r="D901" i="45"/>
  <c r="E901" i="45" s="1"/>
  <c r="D902" i="45"/>
  <c r="E902" i="45" s="1"/>
  <c r="D903" i="45"/>
  <c r="E903" i="45" s="1"/>
  <c r="D904" i="45"/>
  <c r="E904" i="45" s="1"/>
  <c r="D905" i="45"/>
  <c r="E905" i="45" s="1"/>
  <c r="D906" i="45"/>
  <c r="E906" i="45" s="1"/>
  <c r="D907" i="45"/>
  <c r="E907" i="45" s="1"/>
  <c r="D908" i="45"/>
  <c r="E908" i="45" s="1"/>
  <c r="D909" i="45"/>
  <c r="E909" i="45" s="1"/>
  <c r="D910" i="45"/>
  <c r="E910" i="45" s="1"/>
  <c r="D911" i="45"/>
  <c r="E911" i="45" s="1"/>
  <c r="D912" i="45"/>
  <c r="E912" i="45" s="1"/>
  <c r="D913" i="45"/>
  <c r="E913" i="45" s="1"/>
  <c r="D914" i="45"/>
  <c r="E914" i="45" s="1"/>
  <c r="D915" i="45"/>
  <c r="E915" i="45" s="1"/>
  <c r="D916" i="45"/>
  <c r="E916" i="45" s="1"/>
  <c r="D917" i="45"/>
  <c r="E917" i="45" s="1"/>
  <c r="D918" i="45"/>
  <c r="E918" i="45" s="1"/>
  <c r="D919" i="45"/>
  <c r="E919" i="45" s="1"/>
  <c r="D920" i="45"/>
  <c r="E920" i="45" s="1"/>
  <c r="D921" i="45"/>
  <c r="E921" i="45" s="1"/>
  <c r="D922" i="45"/>
  <c r="E922" i="45" s="1"/>
  <c r="D923" i="45"/>
  <c r="E923" i="45" s="1"/>
  <c r="D924" i="45"/>
  <c r="E924" i="45" s="1"/>
  <c r="D925" i="45"/>
  <c r="E925" i="45" s="1"/>
  <c r="D926" i="45"/>
  <c r="E926" i="45" s="1"/>
  <c r="D927" i="45"/>
  <c r="E927" i="45" s="1"/>
  <c r="D928" i="45"/>
  <c r="E928" i="45" s="1"/>
  <c r="D929" i="45"/>
  <c r="E929" i="45" s="1"/>
  <c r="D930" i="45"/>
  <c r="E930" i="45" s="1"/>
  <c r="D931" i="45"/>
  <c r="E931" i="45" s="1"/>
  <c r="D932" i="45"/>
  <c r="E932" i="45" s="1"/>
  <c r="D933" i="45"/>
  <c r="E933" i="45" s="1"/>
  <c r="D934" i="45"/>
  <c r="E934" i="45" s="1"/>
  <c r="D935" i="45"/>
  <c r="E935" i="45" s="1"/>
  <c r="D936" i="45"/>
  <c r="E936" i="45" s="1"/>
  <c r="D937" i="45"/>
  <c r="E937" i="45" s="1"/>
  <c r="D938" i="45"/>
  <c r="E938" i="45" s="1"/>
  <c r="D939" i="45"/>
  <c r="E939" i="45" s="1"/>
  <c r="D940" i="45"/>
  <c r="E940" i="45" s="1"/>
  <c r="D941" i="45"/>
  <c r="E941" i="45" s="1"/>
  <c r="D942" i="45"/>
  <c r="E942" i="45" s="1"/>
  <c r="D943" i="45"/>
  <c r="E943" i="45" s="1"/>
  <c r="D944" i="45"/>
  <c r="E944" i="45" s="1"/>
  <c r="D945" i="45"/>
  <c r="E945" i="45" s="1"/>
  <c r="D946" i="45"/>
  <c r="E946" i="45" s="1"/>
  <c r="D947" i="45"/>
  <c r="E947" i="45" s="1"/>
  <c r="D948" i="45"/>
  <c r="E948" i="45" s="1"/>
  <c r="D949" i="45"/>
  <c r="E949" i="45" s="1"/>
  <c r="D950" i="45"/>
  <c r="E950" i="45" s="1"/>
  <c r="D951" i="45"/>
  <c r="E951" i="45" s="1"/>
  <c r="D952" i="45"/>
  <c r="E952" i="45" s="1"/>
  <c r="D953" i="45"/>
  <c r="E953" i="45" s="1"/>
  <c r="D954" i="45"/>
  <c r="E954" i="45" s="1"/>
  <c r="D955" i="45"/>
  <c r="E955" i="45" s="1"/>
  <c r="D956" i="45"/>
  <c r="E956" i="45" s="1"/>
  <c r="D957" i="45"/>
  <c r="E957" i="45" s="1"/>
  <c r="D958" i="45"/>
  <c r="E958" i="45" s="1"/>
  <c r="D959" i="45"/>
  <c r="E959" i="45" s="1"/>
  <c r="D960" i="45"/>
  <c r="E960" i="45" s="1"/>
  <c r="D961" i="45"/>
  <c r="E961" i="45" s="1"/>
  <c r="D962" i="45"/>
  <c r="E962" i="45" s="1"/>
  <c r="D963" i="45"/>
  <c r="E963" i="45" s="1"/>
  <c r="D964" i="45"/>
  <c r="E964" i="45" s="1"/>
  <c r="D965" i="45"/>
  <c r="E965" i="45" s="1"/>
  <c r="D966" i="45"/>
  <c r="E966" i="45" s="1"/>
  <c r="D967" i="45"/>
  <c r="E967" i="45" s="1"/>
  <c r="D968" i="45"/>
  <c r="E968" i="45" s="1"/>
  <c r="D969" i="45"/>
  <c r="E969" i="45" s="1"/>
  <c r="D970" i="45"/>
  <c r="E970" i="45" s="1"/>
  <c r="D971" i="45"/>
  <c r="E971" i="45" s="1"/>
  <c r="D972" i="45"/>
  <c r="E972" i="45" s="1"/>
  <c r="D973" i="45"/>
  <c r="E973" i="45" s="1"/>
  <c r="D974" i="45"/>
  <c r="E974" i="45" s="1"/>
  <c r="D975" i="45"/>
  <c r="E975" i="45" s="1"/>
  <c r="D976" i="45"/>
  <c r="E976" i="45" s="1"/>
  <c r="D977" i="45"/>
  <c r="E977" i="45" s="1"/>
  <c r="D978" i="45"/>
  <c r="E978" i="45" s="1"/>
  <c r="D979" i="45"/>
  <c r="E979" i="45" s="1"/>
  <c r="D980" i="45"/>
  <c r="E980" i="45" s="1"/>
  <c r="D981" i="45"/>
  <c r="E981" i="45" s="1"/>
  <c r="D982" i="45"/>
  <c r="E982" i="45" s="1"/>
  <c r="D983" i="45"/>
  <c r="E983" i="45" s="1"/>
  <c r="D984" i="45"/>
  <c r="E984" i="45" s="1"/>
  <c r="D985" i="45"/>
  <c r="E985" i="45" s="1"/>
  <c r="D986" i="45"/>
  <c r="E986" i="45" s="1"/>
  <c r="D987" i="45"/>
  <c r="E987" i="45" s="1"/>
  <c r="D988" i="45"/>
  <c r="E988" i="45" s="1"/>
  <c r="D989" i="45"/>
  <c r="E989" i="45" s="1"/>
  <c r="D990" i="45"/>
  <c r="E990" i="45" s="1"/>
  <c r="D991" i="45"/>
  <c r="E991" i="45" s="1"/>
  <c r="D992" i="45"/>
  <c r="E992" i="45" s="1"/>
  <c r="D993" i="45"/>
  <c r="E993" i="45" s="1"/>
  <c r="D994" i="45"/>
  <c r="E994" i="45" s="1"/>
  <c r="D998" i="45"/>
  <c r="E998" i="45" s="1"/>
  <c r="D1000" i="45"/>
  <c r="E1000" i="45" s="1"/>
  <c r="D1001" i="45"/>
  <c r="E1001" i="45" s="1"/>
  <c r="D1002" i="45"/>
  <c r="E1002" i="45" s="1"/>
  <c r="D1003" i="45"/>
  <c r="E1003" i="45" s="1"/>
  <c r="D1004" i="45"/>
  <c r="E1004" i="45" s="1"/>
  <c r="D1005" i="45"/>
  <c r="E1005" i="45" s="1"/>
  <c r="D1006" i="45"/>
  <c r="E1006" i="45" s="1"/>
  <c r="D1007" i="45"/>
  <c r="E1007" i="45" s="1"/>
  <c r="D1008" i="45"/>
  <c r="E1008" i="45" s="1"/>
  <c r="D1009" i="45"/>
  <c r="E1009" i="45" s="1"/>
  <c r="D1010" i="45"/>
  <c r="E1010" i="45" s="1"/>
  <c r="D1011" i="45"/>
  <c r="E1011" i="45" s="1"/>
  <c r="D1012" i="45"/>
  <c r="E1012" i="45" s="1"/>
  <c r="D1013" i="45"/>
  <c r="E1013" i="45" s="1"/>
  <c r="D1014" i="45"/>
  <c r="E1014" i="45" s="1"/>
  <c r="D1015" i="45"/>
  <c r="E1015" i="45" s="1"/>
  <c r="D1016" i="45"/>
  <c r="E1016" i="45" s="1"/>
  <c r="D1018" i="45"/>
  <c r="E1018" i="45" s="1"/>
  <c r="D1019" i="45"/>
  <c r="E1019" i="45" s="1"/>
  <c r="D1020" i="45"/>
  <c r="E1020" i="45" s="1"/>
  <c r="D1021" i="45"/>
  <c r="E1021" i="45" s="1"/>
  <c r="D1022" i="45"/>
  <c r="E1022" i="45" s="1"/>
  <c r="D1023" i="45"/>
  <c r="E1023" i="45" s="1"/>
  <c r="D1024" i="45"/>
  <c r="E1024" i="45" s="1"/>
  <c r="D1025" i="45"/>
  <c r="E1025" i="45" s="1"/>
  <c r="D1026" i="45"/>
  <c r="E1026" i="45" s="1"/>
  <c r="D1027" i="45"/>
  <c r="E1027" i="45" s="1"/>
  <c r="D1028" i="45"/>
  <c r="E1028" i="45" s="1"/>
  <c r="D1029" i="45"/>
  <c r="E1029" i="45" s="1"/>
  <c r="D1030" i="45"/>
  <c r="E1030" i="45" s="1"/>
  <c r="D1031" i="45"/>
  <c r="E1031" i="45" s="1"/>
  <c r="D1032" i="45"/>
  <c r="E1032" i="45" s="1"/>
  <c r="D1033" i="45"/>
  <c r="E1033" i="45" s="1"/>
  <c r="D1034" i="45"/>
  <c r="E1034" i="45" s="1"/>
  <c r="D1035" i="45"/>
  <c r="E1035" i="45" s="1"/>
  <c r="D1036" i="45"/>
  <c r="E1036" i="45" s="1"/>
  <c r="D1037" i="45"/>
  <c r="E1037" i="45" s="1"/>
  <c r="D1038" i="45"/>
  <c r="E1038" i="45" s="1"/>
  <c r="D1039" i="45"/>
  <c r="E1039" i="45" s="1"/>
  <c r="D1040" i="45"/>
  <c r="E1040" i="45" s="1"/>
  <c r="D1041" i="45"/>
  <c r="E1041" i="45" s="1"/>
  <c r="D1042" i="45"/>
  <c r="E1042" i="45" s="1"/>
  <c r="D1044" i="45"/>
  <c r="E1044" i="45" s="1"/>
  <c r="D1046" i="45"/>
  <c r="E1046" i="45" s="1"/>
  <c r="D1047" i="45"/>
  <c r="E1047" i="45" s="1"/>
  <c r="D1048" i="45"/>
  <c r="E1048" i="45" s="1"/>
  <c r="D1049" i="45"/>
  <c r="E1049" i="45" s="1"/>
  <c r="D1050" i="45"/>
  <c r="E1050" i="45" s="1"/>
  <c r="D1051" i="45"/>
  <c r="E1051" i="45" s="1"/>
  <c r="D1052" i="45"/>
  <c r="E1052" i="45" s="1"/>
  <c r="D1053" i="45"/>
  <c r="E1053" i="45" s="1"/>
  <c r="D1054" i="45"/>
  <c r="E1054" i="45" s="1"/>
  <c r="D1055" i="45"/>
  <c r="E1055" i="45" s="1"/>
  <c r="D1056" i="45"/>
  <c r="E1056" i="45" s="1"/>
  <c r="D1057" i="45"/>
  <c r="E1057" i="45" s="1"/>
  <c r="D1058" i="45"/>
  <c r="E1058" i="45" s="1"/>
  <c r="D1059" i="45"/>
  <c r="E1059" i="45" s="1"/>
  <c r="D1060" i="45"/>
  <c r="E1060" i="45" s="1"/>
  <c r="D1061" i="45"/>
  <c r="E1061" i="45" s="1"/>
  <c r="D1062" i="45"/>
  <c r="E1062" i="45" s="1"/>
  <c r="D1063" i="45"/>
  <c r="E1063" i="45" s="1"/>
  <c r="D1064" i="45"/>
  <c r="E1064" i="45" s="1"/>
  <c r="D1065" i="45"/>
  <c r="E1065" i="45" s="1"/>
  <c r="D1066" i="45"/>
  <c r="E1066" i="45" s="1"/>
  <c r="D1067" i="45"/>
  <c r="E1067" i="45" s="1"/>
  <c r="D1068" i="45"/>
  <c r="E1068" i="45" s="1"/>
  <c r="D1069" i="45"/>
  <c r="E1069" i="45" s="1"/>
  <c r="D1070" i="45"/>
  <c r="E1070" i="45" s="1"/>
  <c r="D1071" i="45"/>
  <c r="E1071" i="45" s="1"/>
  <c r="D1072" i="45"/>
  <c r="E1072" i="45" s="1"/>
  <c r="D1073" i="45"/>
  <c r="E1073" i="45" s="1"/>
  <c r="D1074" i="45"/>
  <c r="E1074" i="45" s="1"/>
  <c r="D1075" i="45"/>
  <c r="E1075" i="45" s="1"/>
  <c r="D1076" i="45"/>
  <c r="E1076" i="45" s="1"/>
  <c r="D1077" i="45"/>
  <c r="E1077" i="45" s="1"/>
  <c r="D1078" i="45"/>
  <c r="E1078" i="45" s="1"/>
  <c r="D1079" i="45"/>
  <c r="E1079" i="45" s="1"/>
  <c r="D1080" i="45"/>
  <c r="E1080" i="45" s="1"/>
  <c r="D1081" i="45"/>
  <c r="E1081" i="45" s="1"/>
  <c r="D1082" i="45"/>
  <c r="E1082" i="45" s="1"/>
  <c r="D1083" i="45"/>
  <c r="E1083" i="45" s="1"/>
  <c r="D1084" i="45"/>
  <c r="E1084" i="45" s="1"/>
  <c r="D1085" i="45"/>
  <c r="E1085" i="45" s="1"/>
  <c r="D1086" i="45"/>
  <c r="E1086" i="45" s="1"/>
  <c r="D1087" i="45"/>
  <c r="E1087" i="45" s="1"/>
  <c r="D1088" i="45"/>
  <c r="E1088" i="45" s="1"/>
  <c r="D1089" i="45"/>
  <c r="E1089" i="45" s="1"/>
  <c r="D1090" i="45"/>
  <c r="E1090" i="45" s="1"/>
  <c r="D1091" i="45"/>
  <c r="E1091" i="45" s="1"/>
  <c r="D1092" i="45"/>
  <c r="E1092" i="45" s="1"/>
  <c r="D1093" i="45"/>
  <c r="E1093" i="45" s="1"/>
  <c r="D1094" i="45"/>
  <c r="E1094" i="45" s="1"/>
  <c r="D1095" i="45"/>
  <c r="E1095" i="45" s="1"/>
  <c r="D1096" i="45"/>
  <c r="E1096" i="45" s="1"/>
  <c r="D1097" i="45"/>
  <c r="E1097" i="45" s="1"/>
  <c r="D1098" i="45"/>
  <c r="E1098" i="45" s="1"/>
  <c r="D1099" i="45"/>
  <c r="E1099" i="45" s="1"/>
  <c r="D1100" i="45"/>
  <c r="E1100" i="45" s="1"/>
  <c r="D1101" i="45"/>
  <c r="E1101" i="45" s="1"/>
  <c r="D1102" i="45"/>
  <c r="E1102" i="45" s="1"/>
  <c r="D1103" i="45"/>
  <c r="E1103" i="45" s="1"/>
  <c r="D1104" i="45"/>
  <c r="E1104" i="45" s="1"/>
  <c r="D1105" i="45"/>
  <c r="E1105" i="45" s="1"/>
  <c r="D1106" i="45"/>
  <c r="E1106" i="45" s="1"/>
  <c r="D1107" i="45"/>
  <c r="E1107" i="45" s="1"/>
  <c r="D1108" i="45"/>
  <c r="E1108" i="45" s="1"/>
  <c r="D1109" i="45"/>
  <c r="E1109" i="45" s="1"/>
  <c r="D1110" i="45"/>
  <c r="E1110" i="45" s="1"/>
  <c r="D1111" i="45"/>
  <c r="E1111" i="45" s="1"/>
  <c r="D1112" i="45"/>
  <c r="E1112" i="45" s="1"/>
  <c r="D1113" i="45"/>
  <c r="E1113" i="45" s="1"/>
  <c r="D1114" i="45"/>
  <c r="E1114" i="45" s="1"/>
  <c r="D1115" i="45"/>
  <c r="E1115" i="45" s="1"/>
  <c r="D1116" i="45"/>
  <c r="E1116" i="45" s="1"/>
  <c r="D1117" i="45"/>
  <c r="E1117" i="45" s="1"/>
  <c r="D1118" i="45"/>
  <c r="E1118" i="45" s="1"/>
  <c r="D1119" i="45"/>
  <c r="E1119" i="45" s="1"/>
  <c r="D1120" i="45"/>
  <c r="E1120" i="45" s="1"/>
  <c r="D1121" i="45"/>
  <c r="E1121" i="45" s="1"/>
  <c r="D1122" i="45"/>
  <c r="E1122" i="45" s="1"/>
  <c r="D1123" i="45"/>
  <c r="E1123" i="45" s="1"/>
  <c r="D1124" i="45"/>
  <c r="E1124" i="45" s="1"/>
  <c r="D1125" i="45"/>
  <c r="E1125" i="45" s="1"/>
  <c r="D1126" i="45"/>
  <c r="E1126" i="45" s="1"/>
  <c r="D1127" i="45"/>
  <c r="E1127" i="45" s="1"/>
  <c r="D1131" i="45"/>
  <c r="E1131" i="45" s="1"/>
  <c r="D1132" i="45"/>
  <c r="E1132" i="45" s="1"/>
  <c r="D1133" i="45"/>
  <c r="E1133" i="45" s="1"/>
  <c r="D1134" i="45"/>
  <c r="E1134" i="45" s="1"/>
  <c r="D1135" i="45"/>
  <c r="E1135" i="45" s="1"/>
  <c r="D1136" i="45"/>
  <c r="E1136" i="45" s="1"/>
  <c r="D1137" i="45"/>
  <c r="E1137" i="45" s="1"/>
  <c r="D1138" i="45"/>
  <c r="E1138" i="45" s="1"/>
  <c r="D1139" i="45"/>
  <c r="E1139" i="45" s="1"/>
  <c r="D1140" i="45"/>
  <c r="E1140" i="45" s="1"/>
  <c r="D1141" i="45"/>
  <c r="E1141" i="45" s="1"/>
  <c r="D1142" i="45"/>
  <c r="E1142" i="45" s="1"/>
  <c r="D1143" i="45"/>
  <c r="E1143" i="45" s="1"/>
  <c r="D1145" i="45"/>
  <c r="E1145" i="45" s="1"/>
  <c r="D1146" i="45"/>
  <c r="E1146" i="45" s="1"/>
  <c r="D1147" i="45"/>
  <c r="E1147" i="45" s="1"/>
  <c r="D1148" i="45"/>
  <c r="E1148" i="45" s="1"/>
  <c r="D1149" i="45"/>
  <c r="E1149" i="45" s="1"/>
  <c r="D1150" i="45"/>
  <c r="E1150" i="45" s="1"/>
  <c r="D1151" i="45"/>
  <c r="E1151" i="45" s="1"/>
  <c r="D1152" i="45"/>
  <c r="E1152" i="45" s="1"/>
  <c r="D1153" i="45"/>
  <c r="E1153" i="45" s="1"/>
  <c r="D1155" i="45"/>
  <c r="E1155" i="45" s="1"/>
  <c r="D1157" i="45"/>
  <c r="E1157" i="45" s="1"/>
  <c r="D1159" i="45"/>
  <c r="E1159" i="45" s="1"/>
  <c r="D1160" i="45"/>
  <c r="E1160" i="45" s="1"/>
  <c r="D1161" i="45"/>
  <c r="E1161" i="45" s="1"/>
  <c r="D1162" i="45"/>
  <c r="E1162" i="45" s="1"/>
  <c r="D1163" i="45"/>
  <c r="E1163" i="45" s="1"/>
  <c r="D1164" i="45"/>
  <c r="E1164" i="45" s="1"/>
  <c r="D1165" i="45"/>
  <c r="E1165" i="45" s="1"/>
  <c r="D1166" i="45"/>
  <c r="E1166" i="45" s="1"/>
  <c r="D1167" i="45"/>
  <c r="E1167" i="45" s="1"/>
  <c r="D1168" i="45"/>
  <c r="E1168" i="45" s="1"/>
  <c r="D1169" i="45"/>
  <c r="E1169" i="45" s="1"/>
  <c r="D1170" i="45"/>
  <c r="E1170" i="45" s="1"/>
  <c r="D1171" i="45"/>
  <c r="E1171" i="45" s="1"/>
  <c r="D1172" i="45"/>
  <c r="E1172" i="45" s="1"/>
  <c r="D1173" i="45"/>
  <c r="E1173" i="45" s="1"/>
  <c r="D1174" i="45"/>
  <c r="E1174" i="45" s="1"/>
  <c r="D1175" i="45"/>
  <c r="E1175" i="45" s="1"/>
  <c r="D1176" i="45"/>
  <c r="E1176" i="45" s="1"/>
  <c r="D1177" i="45"/>
  <c r="E1177" i="45" s="1"/>
  <c r="D1178" i="45"/>
  <c r="E1178" i="45" s="1"/>
  <c r="D1179" i="45"/>
  <c r="E1179" i="45" s="1"/>
  <c r="D1180" i="45"/>
  <c r="E1180" i="45" s="1"/>
  <c r="D1182" i="45"/>
  <c r="E1182" i="45" s="1"/>
  <c r="D1183" i="45"/>
  <c r="E1183" i="45" s="1"/>
  <c r="D1184" i="45"/>
  <c r="E1184" i="45" s="1"/>
  <c r="D1185" i="45"/>
  <c r="E1185" i="45" s="1"/>
  <c r="D1186" i="45"/>
  <c r="E1186" i="45" s="1"/>
  <c r="D1187" i="45"/>
  <c r="E1187" i="45" s="1"/>
  <c r="D1188" i="45"/>
  <c r="E1188" i="45" s="1"/>
  <c r="D1189" i="45"/>
  <c r="E1189" i="45" s="1"/>
  <c r="D1190" i="45"/>
  <c r="E1190" i="45" s="1"/>
  <c r="D1191" i="45"/>
  <c r="E1191" i="45" s="1"/>
  <c r="D1192" i="45"/>
  <c r="E1192" i="45" s="1"/>
  <c r="D1193" i="45"/>
  <c r="E1193" i="45" s="1"/>
  <c r="D1194" i="45"/>
  <c r="E1194" i="45" s="1"/>
  <c r="D1195" i="45"/>
  <c r="E1195" i="45" s="1"/>
  <c r="D1196" i="45"/>
  <c r="E1196" i="45" s="1"/>
  <c r="D1197" i="45"/>
  <c r="E1197" i="45" s="1"/>
  <c r="D1198" i="45"/>
  <c r="E1198" i="45" s="1"/>
  <c r="D1199" i="45"/>
  <c r="E1199" i="45" s="1"/>
  <c r="D1200" i="45"/>
  <c r="E1200" i="45" s="1"/>
  <c r="D1201" i="45"/>
  <c r="E1201" i="45" s="1"/>
  <c r="D1202" i="45"/>
  <c r="E1202" i="45" s="1"/>
  <c r="D1203" i="45"/>
  <c r="E1203" i="45" s="1"/>
  <c r="D1204" i="45"/>
  <c r="E1204" i="45" s="1"/>
  <c r="D1205" i="45"/>
  <c r="E1205" i="45" s="1"/>
  <c r="D1206" i="45"/>
  <c r="E1206" i="45" s="1"/>
  <c r="D1207" i="45"/>
  <c r="E1207" i="45" s="1"/>
  <c r="D1208" i="45"/>
  <c r="E1208" i="45" s="1"/>
  <c r="D1209" i="45"/>
  <c r="E1209" i="45" s="1"/>
  <c r="D1211" i="45"/>
  <c r="E1211" i="45" s="1"/>
  <c r="D1212" i="45"/>
  <c r="E1212" i="45" s="1"/>
  <c r="D1213" i="45"/>
  <c r="E1213" i="45" s="1"/>
  <c r="D1214" i="45"/>
  <c r="E1214" i="45" s="1"/>
  <c r="D1215" i="45"/>
  <c r="E1215" i="45" s="1"/>
  <c r="D1216" i="45"/>
  <c r="E1216" i="45" s="1"/>
  <c r="D1217" i="45"/>
  <c r="E1217" i="45" s="1"/>
  <c r="D1218" i="45"/>
  <c r="E1218" i="45" s="1"/>
  <c r="D1219" i="45"/>
  <c r="E1219" i="45" s="1"/>
  <c r="D1220" i="45"/>
  <c r="E1220" i="45" s="1"/>
  <c r="D1221" i="45"/>
  <c r="E1221" i="45" s="1"/>
  <c r="D1222" i="45"/>
  <c r="E1222" i="45" s="1"/>
  <c r="D1223" i="45"/>
  <c r="E1223" i="45" s="1"/>
  <c r="D1224" i="45"/>
  <c r="E1224" i="45" s="1"/>
  <c r="D1225" i="45"/>
  <c r="E1225" i="45" s="1"/>
  <c r="D1226" i="45"/>
  <c r="E1226" i="45" s="1"/>
  <c r="D1227" i="45"/>
  <c r="E1227" i="45" s="1"/>
  <c r="D1228" i="45"/>
  <c r="E1228" i="45" s="1"/>
  <c r="D1229" i="45"/>
  <c r="E1229" i="45" s="1"/>
  <c r="D1230" i="45"/>
  <c r="E1230" i="45" s="1"/>
  <c r="D1231" i="45"/>
  <c r="E1231" i="45" s="1"/>
  <c r="D1232" i="45"/>
  <c r="E1232" i="45" s="1"/>
  <c r="D1233" i="45"/>
  <c r="E1233" i="45" s="1"/>
  <c r="D1234" i="45"/>
  <c r="E1234" i="45" s="1"/>
  <c r="D1235" i="45"/>
  <c r="E1235" i="45" s="1"/>
  <c r="D1236" i="45"/>
  <c r="E1236" i="45" s="1"/>
  <c r="D1237" i="45"/>
  <c r="E1237" i="45" s="1"/>
  <c r="D1238" i="45"/>
  <c r="E1238" i="45" s="1"/>
  <c r="D1239" i="45"/>
  <c r="E1239" i="45" s="1"/>
  <c r="D1240" i="45"/>
  <c r="E1240" i="45" s="1"/>
  <c r="D1241" i="45"/>
  <c r="E1241" i="45" s="1"/>
  <c r="D1242" i="45"/>
  <c r="E1242" i="45" s="1"/>
  <c r="D1243" i="45"/>
  <c r="E1243" i="45" s="1"/>
  <c r="D1244" i="45"/>
  <c r="E1244" i="45" s="1"/>
  <c r="D1245" i="45"/>
  <c r="E1245" i="45" s="1"/>
  <c r="D1246" i="45"/>
  <c r="E1246" i="45" s="1"/>
  <c r="D1247" i="45"/>
  <c r="E1247" i="45" s="1"/>
  <c r="D1248" i="45"/>
  <c r="E1248" i="45" s="1"/>
  <c r="D1249" i="45"/>
  <c r="E1249" i="45" s="1"/>
  <c r="D1250" i="45"/>
  <c r="E1250" i="45" s="1"/>
  <c r="D1251" i="45"/>
  <c r="E1251" i="45" s="1"/>
  <c r="D1252" i="45"/>
  <c r="E1252" i="45" s="1"/>
  <c r="D1253" i="45"/>
  <c r="E1253" i="45" s="1"/>
  <c r="D1254" i="45"/>
  <c r="E1254" i="45" s="1"/>
  <c r="D1255" i="45"/>
  <c r="E1255" i="45" s="1"/>
  <c r="D1256" i="45"/>
  <c r="E1256" i="45" s="1"/>
  <c r="D1257" i="45"/>
  <c r="E1257" i="45" s="1"/>
  <c r="D1258" i="45"/>
  <c r="E1258" i="45" s="1"/>
  <c r="D1259" i="45"/>
  <c r="E1259" i="45" s="1"/>
  <c r="D1260" i="45"/>
  <c r="E1260" i="45" s="1"/>
  <c r="D1261" i="45"/>
  <c r="E1261" i="45" s="1"/>
  <c r="D1262" i="45"/>
  <c r="E1262" i="45" s="1"/>
  <c r="D1263" i="45"/>
  <c r="E1263" i="45" s="1"/>
  <c r="D1264" i="45"/>
  <c r="E1264" i="45" s="1"/>
  <c r="D1265" i="45"/>
  <c r="E1265" i="45" s="1"/>
  <c r="D1266" i="45"/>
  <c r="E1266" i="45" s="1"/>
  <c r="D1267" i="45"/>
  <c r="E1267" i="45" s="1"/>
  <c r="D1268" i="45"/>
  <c r="E1268" i="45" s="1"/>
  <c r="D1269" i="45"/>
  <c r="E1269" i="45" s="1"/>
  <c r="D1270" i="45"/>
  <c r="E1270" i="45" s="1"/>
  <c r="D1271" i="45"/>
  <c r="E1271" i="45" s="1"/>
  <c r="D1272" i="45"/>
  <c r="E1272" i="45" s="1"/>
  <c r="D1273" i="45"/>
  <c r="E1273" i="45" s="1"/>
  <c r="D1274" i="45"/>
  <c r="E1274" i="45" s="1"/>
  <c r="D1275" i="45"/>
  <c r="E1275" i="45" s="1"/>
  <c r="D1276" i="45"/>
  <c r="E1276" i="45" s="1"/>
  <c r="D1277" i="45"/>
  <c r="E1277" i="45" s="1"/>
  <c r="D1278" i="45"/>
  <c r="E1278" i="45" s="1"/>
  <c r="D1279" i="45"/>
  <c r="E1279" i="45" s="1"/>
  <c r="D1280" i="45"/>
  <c r="E1280" i="45" s="1"/>
  <c r="D1281" i="45"/>
  <c r="E1281" i="45" s="1"/>
  <c r="D1283" i="45"/>
  <c r="E1283" i="45" s="1"/>
  <c r="D1284" i="45"/>
  <c r="E1284" i="45" s="1"/>
  <c r="D1285" i="45"/>
  <c r="E1285" i="45" s="1"/>
  <c r="D1286" i="45"/>
  <c r="E1286" i="45" s="1"/>
  <c r="D1287" i="45"/>
  <c r="E1287" i="45" s="1"/>
  <c r="D1288" i="45"/>
  <c r="E1288" i="45" s="1"/>
  <c r="D1289" i="45"/>
  <c r="E1289" i="45" s="1"/>
  <c r="D1290" i="45"/>
  <c r="E1290" i="45" s="1"/>
  <c r="D1291" i="45"/>
  <c r="E1291" i="45" s="1"/>
  <c r="D1292" i="45"/>
  <c r="E1292" i="45" s="1"/>
  <c r="D1293" i="45"/>
  <c r="E1293" i="45" s="1"/>
  <c r="D1294" i="45"/>
  <c r="E1294" i="45" s="1"/>
  <c r="D1295" i="45"/>
  <c r="E1295" i="45" s="1"/>
  <c r="D1296" i="45"/>
  <c r="E1296" i="45" s="1"/>
  <c r="D1297" i="45"/>
  <c r="E1297" i="45" s="1"/>
  <c r="D1298" i="45"/>
  <c r="E1298" i="45" s="1"/>
  <c r="D1299" i="45"/>
  <c r="E1299" i="45" s="1"/>
  <c r="D1300" i="45"/>
  <c r="E1300" i="45" s="1"/>
  <c r="D1301" i="45"/>
  <c r="E1301" i="45" s="1"/>
  <c r="D1302" i="45"/>
  <c r="E1302" i="45" s="1"/>
  <c r="D1303" i="45"/>
  <c r="E1303" i="45" s="1"/>
  <c r="D1307" i="45"/>
  <c r="E1307" i="45" s="1"/>
  <c r="D1309" i="45"/>
  <c r="E1309" i="45" s="1"/>
  <c r="D1310" i="45"/>
  <c r="E1310" i="45" s="1"/>
  <c r="D1311" i="45"/>
  <c r="E1311" i="45" s="1"/>
  <c r="D1312" i="45"/>
  <c r="E1312" i="45" s="1"/>
  <c r="D1313" i="45"/>
  <c r="E1313" i="45" s="1"/>
  <c r="D1315" i="45"/>
  <c r="E1315" i="45" s="1"/>
  <c r="D1316" i="45"/>
  <c r="E1316" i="45" s="1"/>
  <c r="D1317" i="45"/>
  <c r="E1317" i="45" s="1"/>
  <c r="D1318" i="45"/>
  <c r="E1318" i="45" s="1"/>
  <c r="D1321" i="45"/>
  <c r="E1321" i="45" s="1"/>
  <c r="D1322" i="45"/>
  <c r="E1322" i="45" s="1"/>
  <c r="D1323" i="45"/>
  <c r="E1323" i="45" s="1"/>
  <c r="D1324" i="45"/>
  <c r="E1324" i="45" s="1"/>
  <c r="D1325" i="45"/>
  <c r="E1325" i="45" s="1"/>
  <c r="D1327" i="45"/>
  <c r="E1327" i="45" s="1"/>
  <c r="D1329" i="45"/>
  <c r="E1329" i="45" s="1"/>
  <c r="D1332" i="45"/>
  <c r="E1332" i="45" s="1"/>
  <c r="D5" i="45"/>
  <c r="E5" i="45" s="1"/>
  <c r="D1333" i="45" l="1"/>
  <c r="E1333" i="45" s="1"/>
  <c r="D999" i="45"/>
  <c r="E999" i="45" s="1"/>
  <c r="D130" i="45"/>
  <c r="E130" i="45" s="1"/>
  <c r="D128" i="45"/>
  <c r="E128" i="45" s="1"/>
  <c r="D324" i="45"/>
  <c r="E324" i="45" s="1"/>
  <c r="D13" i="45"/>
  <c r="E13" i="45" s="1"/>
  <c r="D997" i="45"/>
  <c r="E997" i="45" s="1"/>
  <c r="D1306" i="45"/>
  <c r="E1306" i="45" s="1"/>
  <c r="D1130" i="45"/>
  <c r="E1130" i="45" s="1"/>
  <c r="D1328" i="45"/>
  <c r="E1328" i="45" s="1"/>
  <c r="D1156" i="45"/>
  <c r="E1156" i="45" s="1"/>
  <c r="D1045" i="45"/>
  <c r="E1045" i="45" s="1"/>
  <c r="D1308" i="45"/>
  <c r="E1308" i="45" s="1"/>
  <c r="D300" i="45"/>
  <c r="E300" i="45" s="1"/>
  <c r="D175" i="45"/>
  <c r="E175" i="45" s="1"/>
  <c r="D12" i="45" l="1"/>
  <c r="E12" i="45" s="1"/>
  <c r="D312" i="45"/>
  <c r="E312" i="45" s="1"/>
  <c r="D316" i="45"/>
  <c r="E316" i="45" s="1"/>
  <c r="D320" i="45"/>
  <c r="E320" i="45" s="1"/>
  <c r="D7" i="45"/>
  <c r="E7" i="45" s="1"/>
  <c r="D31" i="45"/>
  <c r="E31" i="45" s="1"/>
  <c r="D127" i="45"/>
  <c r="E127" i="45" s="1"/>
  <c r="D307" i="45"/>
  <c r="E307" i="45" s="1"/>
  <c r="D311" i="45"/>
  <c r="E311" i="45" s="1"/>
  <c r="D126" i="45"/>
  <c r="E126" i="45" s="1"/>
  <c r="D317" i="45"/>
  <c r="E317" i="45" s="1"/>
  <c r="D173" i="45"/>
  <c r="E173" i="45" s="1"/>
  <c r="D298" i="45"/>
  <c r="E298" i="45" s="1"/>
  <c r="D398" i="45"/>
  <c r="E398" i="45" s="1"/>
  <c r="D996" i="45"/>
  <c r="E996" i="45" s="1"/>
  <c r="D995" i="45"/>
  <c r="E995" i="45" s="1"/>
  <c r="D1129" i="45"/>
  <c r="E1129" i="45" s="1"/>
  <c r="D1305" i="45"/>
  <c r="E1305" i="45" s="1"/>
  <c r="D1128" i="45"/>
  <c r="E1128" i="45" s="1"/>
  <c r="D1304" i="45"/>
  <c r="E1304" i="45" s="1"/>
  <c r="D1320" i="45"/>
  <c r="E1320" i="45" s="1"/>
  <c r="D321" i="45"/>
  <c r="E321" i="45" s="1"/>
  <c r="D1314" i="45"/>
  <c r="E1314" i="45" s="1"/>
  <c r="D1330" i="45"/>
  <c r="E1330" i="45" s="1"/>
  <c r="D1331" i="45"/>
  <c r="E1331" i="45" s="1"/>
  <c r="D49" i="45"/>
  <c r="E49" i="45" s="1"/>
  <c r="D1326" i="45"/>
  <c r="E1326" i="45" s="1"/>
  <c r="D1334" i="45"/>
  <c r="E1334" i="45" s="1"/>
  <c r="D1319" i="45"/>
  <c r="E1319" i="45" s="1"/>
  <c r="D1043" i="45"/>
  <c r="E1043" i="45" s="1"/>
  <c r="D1154" i="45"/>
  <c r="E1154" i="45" s="1"/>
  <c r="F184" i="43" l="1"/>
  <c r="C340" i="43" l="1"/>
  <c r="G339" i="43"/>
  <c r="H338" i="43"/>
  <c r="G338" i="43"/>
  <c r="H337" i="43"/>
  <c r="G337" i="43"/>
  <c r="H336" i="43"/>
  <c r="G336" i="43"/>
  <c r="H335" i="43"/>
  <c r="G335" i="43"/>
  <c r="H334" i="43"/>
  <c r="G334" i="43"/>
  <c r="H333" i="43"/>
  <c r="D333" i="43"/>
  <c r="F333" i="43" s="1"/>
  <c r="G333" i="43" s="1"/>
  <c r="H332" i="43"/>
  <c r="G332" i="43"/>
  <c r="H331" i="43"/>
  <c r="G331" i="43"/>
  <c r="H330" i="43"/>
  <c r="D330" i="43"/>
  <c r="F330" i="43" s="1"/>
  <c r="G330" i="43" s="1"/>
  <c r="H329" i="43"/>
  <c r="D329" i="43"/>
  <c r="F329" i="43" s="1"/>
  <c r="G329" i="43" s="1"/>
  <c r="H328" i="43"/>
  <c r="D328" i="43"/>
  <c r="F328" i="43" s="1"/>
  <c r="G328" i="43" s="1"/>
  <c r="H327" i="43"/>
  <c r="G327" i="43"/>
  <c r="H326" i="43"/>
  <c r="G326" i="43"/>
  <c r="H325" i="43"/>
  <c r="G325" i="43"/>
  <c r="H324" i="43"/>
  <c r="F324" i="43"/>
  <c r="G324" i="43" s="1"/>
  <c r="H323" i="43"/>
  <c r="G323" i="43"/>
  <c r="H322" i="43"/>
  <c r="G322" i="43"/>
  <c r="H321" i="43"/>
  <c r="G321" i="43"/>
  <c r="H320" i="43"/>
  <c r="G320" i="43"/>
  <c r="H319" i="43"/>
  <c r="F319" i="43"/>
  <c r="G319" i="43" s="1"/>
  <c r="H318" i="43"/>
  <c r="G318" i="43"/>
  <c r="H317" i="43"/>
  <c r="G317" i="43"/>
  <c r="H316" i="43"/>
  <c r="G316" i="43"/>
  <c r="H315" i="43"/>
  <c r="G315" i="43"/>
  <c r="H314" i="43"/>
  <c r="F314" i="43"/>
  <c r="G314" i="43" s="1"/>
  <c r="H313" i="43"/>
  <c r="G313" i="43"/>
  <c r="H312" i="43"/>
  <c r="G312" i="43"/>
  <c r="H311" i="43"/>
  <c r="G311" i="43"/>
  <c r="H310" i="43"/>
  <c r="F310" i="43"/>
  <c r="G310" i="43" s="1"/>
  <c r="H309" i="43"/>
  <c r="G309" i="43"/>
  <c r="H308" i="43"/>
  <c r="G308" i="43"/>
  <c r="H307" i="43"/>
  <c r="G307" i="43"/>
  <c r="H306" i="43"/>
  <c r="D306" i="43"/>
  <c r="F306" i="43" s="1"/>
  <c r="G306" i="43" s="1"/>
  <c r="H305" i="43"/>
  <c r="G305" i="43"/>
  <c r="H304" i="43"/>
  <c r="G304" i="43"/>
  <c r="F303" i="43"/>
  <c r="G303" i="43" s="1"/>
  <c r="G302" i="43"/>
  <c r="H301" i="43"/>
  <c r="G301" i="43"/>
  <c r="H300" i="43"/>
  <c r="G300" i="43"/>
  <c r="D299" i="43"/>
  <c r="F299" i="43" s="1"/>
  <c r="G299" i="43" s="1"/>
  <c r="H298" i="43"/>
  <c r="G298" i="43"/>
  <c r="H297" i="43"/>
  <c r="G297" i="43"/>
  <c r="F297" i="43"/>
  <c r="H296" i="43"/>
  <c r="F296" i="43"/>
  <c r="G296" i="43" s="1"/>
  <c r="H295" i="43"/>
  <c r="F295" i="43"/>
  <c r="G295" i="43" s="1"/>
  <c r="H294" i="43"/>
  <c r="F294" i="43"/>
  <c r="G294" i="43" s="1"/>
  <c r="H293" i="43"/>
  <c r="G293" i="43"/>
  <c r="H292" i="43"/>
  <c r="G292" i="43"/>
  <c r="F292" i="43"/>
  <c r="H291" i="43"/>
  <c r="D291" i="43"/>
  <c r="F291" i="43" s="1"/>
  <c r="G291" i="43" s="1"/>
  <c r="H290" i="43"/>
  <c r="F290" i="43"/>
  <c r="G290" i="43" s="1"/>
  <c r="D290" i="43"/>
  <c r="H289" i="43"/>
  <c r="F289" i="43"/>
  <c r="G289" i="43" s="1"/>
  <c r="H288" i="43"/>
  <c r="D288" i="43"/>
  <c r="F288" i="43" s="1"/>
  <c r="G288" i="43" s="1"/>
  <c r="H287" i="43"/>
  <c r="G287" i="43"/>
  <c r="H286" i="43"/>
  <c r="G286" i="43"/>
  <c r="H285" i="43"/>
  <c r="G285" i="43"/>
  <c r="H284" i="43"/>
  <c r="D284" i="43"/>
  <c r="F284" i="43" s="1"/>
  <c r="G284" i="43" s="1"/>
  <c r="H283" i="43"/>
  <c r="G283" i="43"/>
  <c r="H282" i="43"/>
  <c r="G282" i="43"/>
  <c r="H281" i="43"/>
  <c r="F281" i="43"/>
  <c r="G281" i="43" s="1"/>
  <c r="H279" i="43"/>
  <c r="G279" i="43"/>
  <c r="H278" i="43"/>
  <c r="D278" i="43"/>
  <c r="F278" i="43" s="1"/>
  <c r="G278" i="43" s="1"/>
  <c r="H277" i="43"/>
  <c r="G277" i="43"/>
  <c r="H276" i="43"/>
  <c r="D276" i="43"/>
  <c r="F276" i="43" s="1"/>
  <c r="G276" i="43" s="1"/>
  <c r="H275" i="43"/>
  <c r="D275" i="43"/>
  <c r="F275" i="43" s="1"/>
  <c r="G275" i="43" s="1"/>
  <c r="H274" i="43"/>
  <c r="D274" i="43"/>
  <c r="F274" i="43" s="1"/>
  <c r="G274" i="43" s="1"/>
  <c r="H273" i="43"/>
  <c r="F273" i="43"/>
  <c r="G273" i="43" s="1"/>
  <c r="D273" i="43"/>
  <c r="H272" i="43"/>
  <c r="G272" i="43"/>
  <c r="H271" i="43"/>
  <c r="G271" i="43"/>
  <c r="H270" i="43"/>
  <c r="G270" i="43"/>
  <c r="H269" i="43"/>
  <c r="F269" i="43"/>
  <c r="G269" i="43" s="1"/>
  <c r="H268" i="43"/>
  <c r="G268" i="43"/>
  <c r="H267" i="43"/>
  <c r="D267" i="43"/>
  <c r="F267" i="43" s="1"/>
  <c r="G267" i="43" s="1"/>
  <c r="H266" i="43"/>
  <c r="D266" i="43"/>
  <c r="F266" i="43" s="1"/>
  <c r="G266" i="43" s="1"/>
  <c r="H265" i="43"/>
  <c r="F265" i="43"/>
  <c r="G265" i="43" s="1"/>
  <c r="H264" i="43"/>
  <c r="D264" i="43"/>
  <c r="F264" i="43" s="1"/>
  <c r="G264" i="43" s="1"/>
  <c r="H263" i="43"/>
  <c r="G263" i="43"/>
  <c r="H262" i="43"/>
  <c r="F262" i="43"/>
  <c r="G262" i="43" s="1"/>
  <c r="H261" i="43"/>
  <c r="G261" i="43"/>
  <c r="H260" i="43"/>
  <c r="D260" i="43"/>
  <c r="F260" i="43" s="1"/>
  <c r="G260" i="43" s="1"/>
  <c r="H259" i="43"/>
  <c r="G259" i="43"/>
  <c r="H258" i="43"/>
  <c r="D258" i="43"/>
  <c r="F258" i="43" s="1"/>
  <c r="G258" i="43" s="1"/>
  <c r="H257" i="43"/>
  <c r="F257" i="43"/>
  <c r="G257" i="43" s="1"/>
  <c r="H256" i="43"/>
  <c r="G256" i="43"/>
  <c r="H255" i="43"/>
  <c r="D255" i="43"/>
  <c r="F255" i="43" s="1"/>
  <c r="G255" i="43" s="1"/>
  <c r="H254" i="43"/>
  <c r="F254" i="43"/>
  <c r="G254" i="43" s="1"/>
  <c r="H253" i="43"/>
  <c r="G253" i="43"/>
  <c r="H252" i="43"/>
  <c r="D252" i="43"/>
  <c r="F252" i="43" s="1"/>
  <c r="G252" i="43" s="1"/>
  <c r="H251" i="43"/>
  <c r="F251" i="43"/>
  <c r="G251" i="43" s="1"/>
  <c r="H250" i="43"/>
  <c r="D250" i="43"/>
  <c r="F250" i="43" s="1"/>
  <c r="G250" i="43" s="1"/>
  <c r="H249" i="43"/>
  <c r="G249" i="43"/>
  <c r="H248" i="43"/>
  <c r="D248" i="43"/>
  <c r="F248" i="43" s="1"/>
  <c r="G248" i="43" s="1"/>
  <c r="H247" i="43"/>
  <c r="D247" i="43"/>
  <c r="F247" i="43" s="1"/>
  <c r="G247" i="43" s="1"/>
  <c r="H246" i="43"/>
  <c r="G246" i="43"/>
  <c r="H245" i="43"/>
  <c r="G245" i="43"/>
  <c r="H244" i="43"/>
  <c r="D244" i="43"/>
  <c r="F244" i="43" s="1"/>
  <c r="G244" i="43" s="1"/>
  <c r="H243" i="43"/>
  <c r="F243" i="43"/>
  <c r="G243" i="43" s="1"/>
  <c r="H242" i="43"/>
  <c r="F242" i="43"/>
  <c r="G242" i="43" s="1"/>
  <c r="H241" i="43"/>
  <c r="G241" i="43"/>
  <c r="H240" i="43"/>
  <c r="G240" i="43"/>
  <c r="H239" i="43"/>
  <c r="G239" i="43"/>
  <c r="H238" i="43"/>
  <c r="F238" i="43"/>
  <c r="G238" i="43" s="1"/>
  <c r="H237" i="43"/>
  <c r="G237" i="43"/>
  <c r="H236" i="43"/>
  <c r="G236" i="43"/>
  <c r="H235" i="43"/>
  <c r="G235" i="43"/>
  <c r="H234" i="43"/>
  <c r="G234" i="43"/>
  <c r="H233" i="43"/>
  <c r="G233" i="43"/>
  <c r="H232" i="43"/>
  <c r="G232" i="43"/>
  <c r="H231" i="43"/>
  <c r="F231" i="43"/>
  <c r="G231" i="43" s="1"/>
  <c r="H230" i="43"/>
  <c r="G230" i="43"/>
  <c r="H229" i="43"/>
  <c r="G229" i="43"/>
  <c r="H228" i="43"/>
  <c r="F228" i="43"/>
  <c r="G228" i="43" s="1"/>
  <c r="D228" i="43"/>
  <c r="H227" i="43"/>
  <c r="F227" i="43"/>
  <c r="G227" i="43" s="1"/>
  <c r="H226" i="43"/>
  <c r="E226" i="43"/>
  <c r="E340" i="43" s="1"/>
  <c r="D226" i="43"/>
  <c r="H225" i="43"/>
  <c r="G225" i="43"/>
  <c r="H224" i="43"/>
  <c r="G224" i="43"/>
  <c r="H223" i="43"/>
  <c r="F223" i="43"/>
  <c r="G223" i="43" s="1"/>
  <c r="D223" i="43"/>
  <c r="H222" i="43"/>
  <c r="G222" i="43"/>
  <c r="H221" i="43"/>
  <c r="G221" i="43"/>
  <c r="H220" i="43"/>
  <c r="G220" i="43"/>
  <c r="H219" i="43"/>
  <c r="G219" i="43"/>
  <c r="H218" i="43"/>
  <c r="G218" i="43"/>
  <c r="H217" i="43"/>
  <c r="G217" i="43"/>
  <c r="H216" i="43"/>
  <c r="G216" i="43"/>
  <c r="H215" i="43"/>
  <c r="D215" i="43"/>
  <c r="F215" i="43" s="1"/>
  <c r="G215" i="43" s="1"/>
  <c r="H214" i="43"/>
  <c r="D214" i="43"/>
  <c r="F214" i="43" s="1"/>
  <c r="G214" i="43" s="1"/>
  <c r="H213" i="43"/>
  <c r="G213" i="43"/>
  <c r="H212" i="43"/>
  <c r="G212" i="43"/>
  <c r="H211" i="43"/>
  <c r="G211" i="43"/>
  <c r="H210" i="43"/>
  <c r="G210" i="43"/>
  <c r="H209" i="43"/>
  <c r="G209" i="43"/>
  <c r="H208" i="43"/>
  <c r="G208" i="43"/>
  <c r="H207" i="43"/>
  <c r="G207" i="43"/>
  <c r="H206" i="43"/>
  <c r="G206" i="43"/>
  <c r="H205" i="43"/>
  <c r="G205" i="43"/>
  <c r="H204" i="43"/>
  <c r="D204" i="43"/>
  <c r="F204" i="43" s="1"/>
  <c r="G204" i="43" s="1"/>
  <c r="H203" i="43"/>
  <c r="G203" i="43"/>
  <c r="H202" i="43"/>
  <c r="G202" i="43"/>
  <c r="H201" i="43"/>
  <c r="F201" i="43"/>
  <c r="G201" i="43" s="1"/>
  <c r="H200" i="43"/>
  <c r="G200" i="43"/>
  <c r="H199" i="43"/>
  <c r="G199" i="43"/>
  <c r="H198" i="43"/>
  <c r="G198" i="43"/>
  <c r="F198" i="43"/>
  <c r="H197" i="43"/>
  <c r="G197" i="43"/>
  <c r="H196" i="43"/>
  <c r="G196" i="43"/>
  <c r="H195" i="43"/>
  <c r="G195" i="43"/>
  <c r="H194" i="43"/>
  <c r="G194" i="43"/>
  <c r="H193" i="43"/>
  <c r="G193" i="43"/>
  <c r="H192" i="43"/>
  <c r="F192" i="43"/>
  <c r="G192" i="43" s="1"/>
  <c r="H191" i="43"/>
  <c r="F191" i="43"/>
  <c r="G191" i="43" s="1"/>
  <c r="H190" i="43"/>
  <c r="G190" i="43"/>
  <c r="H189" i="43"/>
  <c r="G189" i="43"/>
  <c r="H188" i="43"/>
  <c r="F188" i="43"/>
  <c r="G188" i="43" s="1"/>
  <c r="H187" i="43"/>
  <c r="G187" i="43"/>
  <c r="H186" i="43"/>
  <c r="G186" i="43"/>
  <c r="H185" i="43"/>
  <c r="G185" i="43"/>
  <c r="H184" i="43"/>
  <c r="G184" i="43"/>
  <c r="G181" i="43"/>
  <c r="F181" i="43"/>
  <c r="C181" i="43"/>
  <c r="C157" i="43"/>
  <c r="G156" i="43"/>
  <c r="G155" i="43"/>
  <c r="G154" i="43"/>
  <c r="G153" i="43"/>
  <c r="G152" i="43"/>
  <c r="G151" i="43"/>
  <c r="G150" i="43"/>
  <c r="G149" i="43"/>
  <c r="G148" i="43"/>
  <c r="G146" i="43"/>
  <c r="G145" i="43"/>
  <c r="G144" i="43"/>
  <c r="G143" i="43"/>
  <c r="G142" i="43"/>
  <c r="G141" i="43"/>
  <c r="G140" i="43"/>
  <c r="G139" i="43"/>
  <c r="G138" i="43"/>
  <c r="G137" i="43"/>
  <c r="G136" i="43"/>
  <c r="G135" i="43"/>
  <c r="G134" i="43"/>
  <c r="G133" i="43"/>
  <c r="G132" i="43"/>
  <c r="G131" i="43"/>
  <c r="G130" i="43"/>
  <c r="G129" i="43"/>
  <c r="G128" i="43"/>
  <c r="G127" i="43"/>
  <c r="G126" i="43"/>
  <c r="G125" i="43"/>
  <c r="G124" i="43"/>
  <c r="G123" i="43"/>
  <c r="G122" i="43"/>
  <c r="G121" i="43"/>
  <c r="G120" i="43"/>
  <c r="G119" i="43"/>
  <c r="G118" i="43"/>
  <c r="G117" i="43"/>
  <c r="G116" i="43"/>
  <c r="G115" i="43"/>
  <c r="G114" i="43"/>
  <c r="G113" i="43"/>
  <c r="G112" i="43"/>
  <c r="G111" i="43"/>
  <c r="G110" i="43"/>
  <c r="G109" i="43"/>
  <c r="G108" i="43"/>
  <c r="G107" i="43"/>
  <c r="G106" i="43"/>
  <c r="G105" i="43"/>
  <c r="G104" i="43"/>
  <c r="G103" i="43"/>
  <c r="G102" i="43"/>
  <c r="G101" i="43"/>
  <c r="G100" i="43"/>
  <c r="G99" i="43"/>
  <c r="G97" i="43"/>
  <c r="G96" i="43"/>
  <c r="G95" i="43"/>
  <c r="G94" i="43"/>
  <c r="G93" i="43"/>
  <c r="G92" i="43"/>
  <c r="G91" i="43"/>
  <c r="G89" i="43"/>
  <c r="G88" i="43"/>
  <c r="G87" i="43"/>
  <c r="G86" i="43"/>
  <c r="G84" i="43"/>
  <c r="G83" i="43"/>
  <c r="G81" i="43"/>
  <c r="G80" i="43"/>
  <c r="G79" i="43"/>
  <c r="G78" i="43"/>
  <c r="G77" i="43"/>
  <c r="G76" i="43"/>
  <c r="G75" i="43"/>
  <c r="G74" i="43"/>
  <c r="G73" i="43"/>
  <c r="G72" i="43"/>
  <c r="G71" i="43"/>
  <c r="G69" i="43"/>
  <c r="G68" i="43"/>
  <c r="G67" i="43"/>
  <c r="G66" i="43"/>
  <c r="G65" i="43"/>
  <c r="G64" i="43"/>
  <c r="G63" i="43"/>
  <c r="G62" i="43"/>
  <c r="G61" i="43"/>
  <c r="G60" i="43"/>
  <c r="G59" i="43"/>
  <c r="G58" i="43"/>
  <c r="G57" i="43"/>
  <c r="G56" i="43"/>
  <c r="G55" i="43"/>
  <c r="G54" i="43"/>
  <c r="G52" i="43"/>
  <c r="G51" i="43"/>
  <c r="G50" i="43"/>
  <c r="G49" i="43"/>
  <c r="G48" i="43"/>
  <c r="G47" i="43"/>
  <c r="G46" i="43"/>
  <c r="G45" i="43"/>
  <c r="G44" i="43"/>
  <c r="G43" i="43"/>
  <c r="G42" i="43"/>
  <c r="G41" i="43"/>
  <c r="G40" i="43"/>
  <c r="G39" i="43"/>
  <c r="G36" i="43"/>
  <c r="G35" i="43"/>
  <c r="G34" i="43"/>
  <c r="G33" i="43"/>
  <c r="G31" i="43"/>
  <c r="G29" i="43"/>
  <c r="G28" i="43"/>
  <c r="G27" i="43"/>
  <c r="G25" i="43"/>
  <c r="G24" i="43"/>
  <c r="G23" i="43"/>
  <c r="H21" i="43"/>
  <c r="C21" i="43"/>
  <c r="C346" i="43" s="1"/>
  <c r="G20" i="43"/>
  <c r="G19" i="43"/>
  <c r="G18" i="43"/>
  <c r="F17" i="43"/>
  <c r="G17" i="43" s="1"/>
  <c r="F16" i="43"/>
  <c r="G16" i="43" s="1"/>
  <c r="G15" i="43"/>
  <c r="G14" i="43"/>
  <c r="F13" i="43"/>
  <c r="G13" i="43" s="1"/>
  <c r="G12" i="43"/>
  <c r="F11" i="43"/>
  <c r="G11" i="43" s="1"/>
  <c r="F10" i="43"/>
  <c r="G10" i="43" s="1"/>
  <c r="G9" i="43"/>
  <c r="F8" i="43"/>
  <c r="G8" i="43" s="1"/>
  <c r="G7" i="43"/>
  <c r="F6" i="43"/>
  <c r="G6" i="43" s="1"/>
  <c r="G5" i="43"/>
  <c r="G4" i="43"/>
  <c r="G157" i="43" l="1"/>
  <c r="H340" i="43"/>
  <c r="G21" i="43"/>
  <c r="F226" i="43"/>
  <c r="G226" i="43" s="1"/>
  <c r="D340" i="43"/>
  <c r="G340" i="43" l="1"/>
  <c r="F340" i="43"/>
  <c r="C876" i="40" l="1"/>
  <c r="C1685" i="40" l="1"/>
  <c r="C2" i="40"/>
  <c r="C381" i="40"/>
  <c r="C1277" i="40"/>
  <c r="C475" i="40"/>
  <c r="C1239" i="40"/>
  <c r="C908" i="40"/>
  <c r="C1087" i="40" l="1"/>
  <c r="C123" i="40" l="1"/>
  <c r="C1137" i="40"/>
  <c r="C910" i="40" l="1"/>
  <c r="C916" i="40"/>
  <c r="C152" i="40"/>
  <c r="C1582" i="40"/>
  <c r="C1580" i="40"/>
  <c r="C1573" i="40"/>
  <c r="C1574" i="40"/>
  <c r="C1549" i="40"/>
  <c r="C1545" i="40"/>
  <c r="C1259" i="40"/>
  <c r="C1264" i="40"/>
  <c r="C1225" i="40"/>
  <c r="C1228" i="40"/>
  <c r="C990" i="40"/>
  <c r="C993" i="40"/>
  <c r="C977" i="40"/>
  <c r="C971" i="40"/>
  <c r="C974" i="40"/>
  <c r="C975" i="40"/>
  <c r="C939" i="40"/>
  <c r="C941" i="40"/>
  <c r="C894" i="40"/>
  <c r="C898" i="40"/>
  <c r="C896" i="40"/>
  <c r="C880" i="40"/>
  <c r="C875" i="40"/>
  <c r="C867" i="40"/>
  <c r="C856" i="40"/>
  <c r="C801" i="40"/>
  <c r="C802" i="40"/>
  <c r="C788" i="40"/>
  <c r="C790" i="40"/>
  <c r="C742" i="40"/>
  <c r="C728" i="40"/>
  <c r="C707" i="40"/>
  <c r="C706" i="40"/>
  <c r="C703" i="40"/>
  <c r="C614" i="40"/>
  <c r="C617" i="40"/>
  <c r="C564" i="40" l="1"/>
  <c r="C566" i="40"/>
  <c r="C556" i="40"/>
  <c r="C553" i="40"/>
  <c r="C544" i="40"/>
  <c r="C542" i="40"/>
  <c r="C514" i="40"/>
  <c r="C513" i="40"/>
  <c r="C499" i="40"/>
  <c r="C496" i="40"/>
  <c r="C494" i="40"/>
  <c r="C484" i="40"/>
  <c r="C486" i="40"/>
  <c r="C474" i="40"/>
  <c r="C473" i="40"/>
  <c r="C471" i="40"/>
  <c r="C458" i="40"/>
  <c r="C460" i="40"/>
  <c r="C439" i="40"/>
  <c r="C433" i="40"/>
  <c r="C432" i="40"/>
  <c r="C1586" i="40" l="1"/>
  <c r="C1592" i="40"/>
  <c r="C1666" i="40"/>
  <c r="C904" i="40"/>
  <c r="C549" i="40"/>
  <c r="C411" i="40"/>
  <c r="C1583" i="40"/>
  <c r="C935" i="40"/>
  <c r="C774" i="40"/>
  <c r="C770" i="40"/>
  <c r="C701" i="40"/>
  <c r="C571" i="40"/>
  <c r="C491" i="40"/>
  <c r="C462" i="40"/>
  <c r="C1541" i="40"/>
  <c r="C1605" i="40"/>
  <c r="C67" i="40"/>
  <c r="C65" i="40"/>
  <c r="C16" i="40"/>
  <c r="C981" i="40" l="1"/>
  <c r="C954" i="40"/>
  <c r="C924" i="40"/>
  <c r="C917" i="40"/>
  <c r="C1292" i="40"/>
  <c r="C927" i="40"/>
  <c r="C913" i="40"/>
  <c r="C861" i="40"/>
  <c r="C479" i="40" l="1"/>
  <c r="K14" i="28" l="1"/>
  <c r="K45" i="28" s="1"/>
  <c r="C999" i="40"/>
  <c r="C1620" i="40"/>
  <c r="C1595" i="40"/>
  <c r="C1682" i="40"/>
  <c r="C644" i="40" l="1"/>
  <c r="C642" i="40"/>
  <c r="C1683" i="40"/>
  <c r="C883" i="40"/>
  <c r="C881" i="40"/>
  <c r="C440" i="40"/>
  <c r="C1110" i="40" l="1"/>
  <c r="C1109" i="40"/>
  <c r="C1094" i="40"/>
  <c r="C1092" i="40"/>
  <c r="C1020" i="40" l="1"/>
  <c r="C43" i="40" l="1"/>
  <c r="C1236" i="40" l="1"/>
  <c r="C1195" i="40" l="1"/>
  <c r="C720" i="40"/>
  <c r="C658" i="40" l="1"/>
  <c r="C1283" i="40" l="1"/>
  <c r="C1058" i="40"/>
  <c r="C121" i="40" l="1"/>
  <c r="C369" i="40" l="1"/>
  <c r="C393" i="40"/>
  <c r="C402" i="40"/>
  <c r="C53" i="40"/>
  <c r="C1017" i="40" l="1"/>
  <c r="C1627" i="40"/>
  <c r="C873" i="40"/>
  <c r="C613" i="40"/>
  <c r="C831" i="40" l="1"/>
  <c r="C737" i="40" l="1"/>
  <c r="C17" i="40"/>
  <c r="C35" i="40"/>
  <c r="C758" i="40"/>
  <c r="C705" i="40"/>
  <c r="C962" i="40" l="1"/>
  <c r="C605" i="40"/>
  <c r="C159" i="40"/>
  <c r="C162" i="40"/>
  <c r="C157" i="40"/>
  <c r="C1622" i="40"/>
  <c r="C961" i="40" l="1"/>
  <c r="C829" i="40"/>
  <c r="C687" i="40"/>
  <c r="C663" i="40"/>
  <c r="C643" i="40"/>
  <c r="C641" i="40"/>
  <c r="C645" i="40"/>
  <c r="C515" i="40"/>
  <c r="C854" i="40" l="1"/>
  <c r="C26" i="40"/>
  <c r="C25" i="40"/>
  <c r="C15" i="40" l="1"/>
  <c r="C52" i="40" l="1"/>
  <c r="C209" i="40"/>
  <c r="C1418" i="40"/>
  <c r="C1576" i="40" l="1"/>
  <c r="C940" i="40" l="1"/>
  <c r="C1181" i="40"/>
  <c r="C1293" i="40"/>
  <c r="C1288" i="40"/>
  <c r="C1223" i="40"/>
  <c r="C909" i="40" l="1"/>
  <c r="C481" i="40" l="1"/>
  <c r="C493" i="40" l="1"/>
  <c r="C795" i="40" l="1"/>
  <c r="C979" i="40" l="1"/>
  <c r="C1625" i="40" l="1"/>
  <c r="C1619" i="40" l="1"/>
  <c r="C1616" i="40"/>
  <c r="C498" i="40" l="1"/>
  <c r="C495" i="40"/>
  <c r="C1613" i="40" l="1"/>
  <c r="C1602" i="40"/>
  <c r="C1548" i="40"/>
  <c r="C1278" i="40"/>
  <c r="C1257" i="40"/>
  <c r="C1250" i="40"/>
  <c r="C968" i="40"/>
  <c r="C1219" i="40" l="1"/>
  <c r="C1045" i="40"/>
  <c r="C1018" i="40"/>
  <c r="C991" i="40"/>
  <c r="C759" i="40"/>
  <c r="C727" i="40"/>
  <c r="C726" i="40"/>
  <c r="C664" i="40"/>
  <c r="C619" i="40"/>
  <c r="C577" i="40" l="1"/>
  <c r="C580" i="40"/>
  <c r="C546" i="40"/>
  <c r="C660" i="40" l="1"/>
  <c r="C704" i="40"/>
  <c r="C1044" i="40"/>
  <c r="C1308" i="40"/>
  <c r="C1019" i="40"/>
  <c r="C1260" i="40"/>
  <c r="C1594" i="40"/>
  <c r="C485" i="40"/>
  <c r="C565" i="40"/>
  <c r="C579" i="40"/>
  <c r="C554" i="40"/>
  <c r="C557" i="40" l="1"/>
  <c r="C863" i="40"/>
  <c r="C1599" i="40"/>
  <c r="C1601" i="40"/>
  <c r="C1623" i="40"/>
  <c r="C1626" i="40"/>
  <c r="C399" i="40" l="1"/>
  <c r="C398" i="40"/>
  <c r="C395" i="40"/>
  <c r="C374" i="40"/>
  <c r="C58" i="40"/>
  <c r="C49" i="40"/>
  <c r="C40" i="40"/>
  <c r="C28" i="40"/>
  <c r="C14" i="40"/>
  <c r="C13" i="40"/>
  <c r="C4" i="40"/>
  <c r="C595" i="40"/>
  <c r="C165" i="40"/>
  <c r="C6" i="40"/>
  <c r="C417" i="40" l="1"/>
  <c r="O11" i="14" l="1"/>
  <c r="C8" i="39" l="1"/>
  <c r="D15" i="39"/>
  <c r="D8" i="39"/>
  <c r="C6" i="39"/>
  <c r="D21" i="39"/>
  <c r="D13" i="39"/>
  <c r="D5" i="39"/>
  <c r="D6" i="39"/>
  <c r="C13" i="39"/>
  <c r="C5" i="39"/>
  <c r="C21" i="39"/>
  <c r="H43" i="28"/>
  <c r="H14" i="28"/>
  <c r="C30" i="39" l="1"/>
  <c r="C33" i="39"/>
  <c r="D30" i="39"/>
  <c r="D18" i="39"/>
  <c r="C18" i="39"/>
  <c r="C22" i="39"/>
  <c r="D28" i="39"/>
  <c r="C24" i="39"/>
  <c r="C9" i="39"/>
  <c r="C28" i="39"/>
  <c r="D9" i="39"/>
  <c r="C26" i="39"/>
  <c r="D22" i="39"/>
  <c r="D20" i="39"/>
  <c r="C20" i="39"/>
  <c r="C19" i="39"/>
  <c r="D19" i="39"/>
  <c r="C17" i="39"/>
  <c r="D17" i="39"/>
  <c r="C15" i="39"/>
  <c r="D16" i="39"/>
  <c r="C16" i="39"/>
  <c r="D11" i="39"/>
  <c r="D12" i="39"/>
  <c r="C7" i="39"/>
  <c r="C12" i="39"/>
  <c r="D7" i="39"/>
  <c r="D10" i="39"/>
  <c r="C11" i="39"/>
  <c r="C10" i="39"/>
  <c r="N11" i="14"/>
  <c r="C25" i="39"/>
  <c r="E5" i="39"/>
  <c r="C38" i="39"/>
  <c r="H8" i="39" s="1"/>
  <c r="E18" i="39" l="1"/>
  <c r="D38" i="39"/>
  <c r="H26" i="39"/>
  <c r="H5" i="39"/>
  <c r="J5" i="39" s="1"/>
  <c r="H15" i="39"/>
  <c r="H28" i="39"/>
  <c r="H12" i="39"/>
  <c r="H25" i="39"/>
  <c r="H22" i="39"/>
  <c r="H7" i="39"/>
  <c r="H17" i="39"/>
  <c r="H30" i="39"/>
  <c r="H20" i="39"/>
  <c r="H18" i="39"/>
  <c r="J18" i="39" s="1"/>
  <c r="H33" i="39"/>
  <c r="H21" i="39"/>
  <c r="H11" i="39"/>
  <c r="H19" i="39"/>
  <c r="H16" i="39"/>
  <c r="H13" i="39"/>
  <c r="H9" i="39"/>
  <c r="H6" i="39"/>
  <c r="H10" i="39"/>
  <c r="H24" i="39"/>
  <c r="H1694" i="40"/>
  <c r="G1694" i="40"/>
  <c r="F1694" i="40"/>
  <c r="E1694" i="40"/>
  <c r="D1694" i="40"/>
  <c r="C1694" i="40"/>
  <c r="C1696" i="40" s="1"/>
  <c r="H417" i="40"/>
  <c r="G417" i="40"/>
  <c r="F417" i="40"/>
  <c r="E417" i="40"/>
  <c r="D417" i="40"/>
  <c r="E1696" i="40" l="1"/>
  <c r="H1696" i="40"/>
  <c r="G1696" i="40"/>
  <c r="F1696" i="40"/>
  <c r="D1696" i="40"/>
  <c r="C14" i="39" l="1"/>
  <c r="C23" i="39"/>
  <c r="H23" i="39" s="1"/>
  <c r="C27" i="39"/>
  <c r="H27" i="39" s="1"/>
  <c r="C29" i="39"/>
  <c r="H29" i="39" s="1"/>
  <c r="C31" i="39"/>
  <c r="H31" i="39" s="1"/>
  <c r="C32" i="39"/>
  <c r="H32" i="39" s="1"/>
  <c r="C34" i="39"/>
  <c r="H34" i="39" s="1"/>
  <c r="C35" i="39"/>
  <c r="H35" i="39" s="1"/>
  <c r="D25" i="39"/>
  <c r="H14" i="39" l="1"/>
  <c r="C36" i="39"/>
  <c r="C39" i="39" s="1"/>
  <c r="E25" i="39"/>
  <c r="J25" i="39"/>
  <c r="J8" i="39"/>
  <c r="J6" i="39"/>
  <c r="E6" i="39" l="1"/>
  <c r="E8" i="39"/>
  <c r="E7" i="39" l="1"/>
  <c r="J7" i="39"/>
  <c r="D23" i="39" l="1"/>
  <c r="E23" i="39" l="1"/>
  <c r="J23" i="39"/>
  <c r="D14" i="39" l="1"/>
  <c r="E14" i="39" l="1"/>
  <c r="J14" i="39"/>
  <c r="D35" i="39" l="1"/>
  <c r="E35" i="39" l="1"/>
  <c r="J35" i="39"/>
  <c r="D34" i="39"/>
  <c r="D24" i="39"/>
  <c r="E9" i="39" l="1"/>
  <c r="J9" i="39"/>
  <c r="E24" i="39"/>
  <c r="J24" i="39"/>
  <c r="E34" i="39"/>
  <c r="J34" i="39"/>
  <c r="D27" i="39" l="1"/>
  <c r="D29" i="39"/>
  <c r="D31" i="39"/>
  <c r="J10" i="39"/>
  <c r="D33" i="39"/>
  <c r="D32" i="39"/>
  <c r="D26" i="39"/>
  <c r="E17" i="39" l="1"/>
  <c r="J17" i="39"/>
  <c r="E11" i="39"/>
  <c r="J11" i="39"/>
  <c r="E20" i="39"/>
  <c r="J20" i="39"/>
  <c r="E21" i="39"/>
  <c r="J21" i="39"/>
  <c r="E12" i="39"/>
  <c r="J12" i="39"/>
  <c r="E33" i="39"/>
  <c r="J33" i="39"/>
  <c r="E16" i="39"/>
  <c r="J16" i="39"/>
  <c r="E30" i="39"/>
  <c r="J30" i="39"/>
  <c r="E22" i="39"/>
  <c r="J22" i="39"/>
  <c r="E28" i="39"/>
  <c r="J28" i="39"/>
  <c r="E13" i="39"/>
  <c r="J13" i="39"/>
  <c r="E26" i="39"/>
  <c r="J26" i="39"/>
  <c r="E32" i="39"/>
  <c r="J32" i="39"/>
  <c r="E31" i="39"/>
  <c r="J31" i="39"/>
  <c r="E19" i="39"/>
  <c r="J19" i="39"/>
  <c r="E29" i="39"/>
  <c r="J29" i="39"/>
  <c r="E27" i="39"/>
  <c r="J27" i="39"/>
  <c r="E15" i="39"/>
  <c r="J15" i="39"/>
  <c r="E10" i="39"/>
  <c r="D36" i="39"/>
  <c r="D39" i="39" s="1"/>
  <c r="J36" i="39" l="1"/>
  <c r="E36" i="39"/>
  <c r="F43" i="28" l="1"/>
  <c r="F24" i="28"/>
  <c r="D1578" i="34"/>
  <c r="E1578" i="34"/>
  <c r="F1578" i="34"/>
  <c r="G1578" i="34"/>
  <c r="H1578" i="34"/>
  <c r="I1578" i="34"/>
  <c r="C1578" i="34"/>
  <c r="D396" i="34"/>
  <c r="E396" i="34"/>
  <c r="E1580" i="34" s="1"/>
  <c r="F396" i="34"/>
  <c r="G396" i="34"/>
  <c r="H396" i="34"/>
  <c r="I396" i="34"/>
  <c r="C396" i="34"/>
  <c r="C1580" i="34" l="1"/>
  <c r="F1580" i="34"/>
  <c r="D1580" i="34"/>
  <c r="J18" i="27"/>
  <c r="G44" i="27" l="1"/>
  <c r="J41" i="27"/>
  <c r="J43" i="27"/>
  <c r="J45" i="27"/>
  <c r="J62" i="27"/>
  <c r="H42" i="27"/>
  <c r="H27" i="27"/>
  <c r="E3" i="29"/>
  <c r="E4" i="29" s="1"/>
  <c r="E12" i="29"/>
  <c r="E13" i="29"/>
  <c r="E13" i="27"/>
  <c r="E27" i="27"/>
  <c r="E28" i="27"/>
  <c r="E29" i="27"/>
  <c r="E31" i="27"/>
  <c r="E32" i="27"/>
  <c r="E39" i="27"/>
  <c r="E40" i="27"/>
  <c r="E42" i="27"/>
  <c r="E51" i="27"/>
  <c r="E52" i="27"/>
  <c r="H20" i="27"/>
  <c r="H21" i="27"/>
  <c r="H28" i="27"/>
  <c r="H30" i="27"/>
  <c r="H33" i="27"/>
  <c r="H41" i="27"/>
  <c r="H43" i="27"/>
  <c r="H45" i="27"/>
  <c r="H50" i="27"/>
  <c r="H52" i="27"/>
  <c r="H53" i="27"/>
  <c r="E22" i="27"/>
  <c r="F22" i="27"/>
  <c r="G22" i="27"/>
  <c r="E50" i="27"/>
  <c r="G62" i="27"/>
  <c r="I14" i="28"/>
  <c r="J14" i="28"/>
  <c r="G24" i="28"/>
  <c r="I24" i="28"/>
  <c r="J24" i="28"/>
  <c r="I34" i="28"/>
  <c r="E43" i="28"/>
  <c r="G43" i="28"/>
  <c r="I43" i="28"/>
  <c r="M3" i="12"/>
  <c r="M4" i="12"/>
  <c r="M5" i="12"/>
  <c r="M6" i="12"/>
  <c r="M7" i="12"/>
  <c r="M8" i="12"/>
  <c r="M9" i="12"/>
  <c r="M10" i="12"/>
  <c r="M11" i="12"/>
  <c r="M13" i="12"/>
  <c r="O4" i="14"/>
  <c r="O5" i="14"/>
  <c r="O6" i="14"/>
  <c r="O7" i="14"/>
  <c r="O8" i="14"/>
  <c r="O9" i="14"/>
  <c r="O10" i="14"/>
  <c r="D4" i="5"/>
  <c r="E4" i="5" s="1"/>
  <c r="D5" i="5"/>
  <c r="E5" i="5" s="1"/>
  <c r="D6" i="5"/>
  <c r="E6" i="5" s="1"/>
  <c r="D7" i="5"/>
  <c r="E7" i="5" s="1"/>
  <c r="D8" i="5"/>
  <c r="E8" i="5" s="1"/>
  <c r="D9" i="5"/>
  <c r="E9" i="5" s="1"/>
  <c r="D10" i="5"/>
  <c r="E10" i="5" s="1"/>
  <c r="D11" i="5"/>
  <c r="E11" i="5" s="1"/>
  <c r="D12" i="5"/>
  <c r="E12" i="5" s="1"/>
  <c r="D13" i="5"/>
  <c r="E13" i="5" s="1"/>
  <c r="D14" i="5"/>
  <c r="E14" i="5" s="1"/>
  <c r="D15" i="5"/>
  <c r="E15" i="5" s="1"/>
  <c r="D16" i="5"/>
  <c r="E16" i="5" s="1"/>
  <c r="D17" i="5"/>
  <c r="E17" i="5" s="1"/>
  <c r="D18" i="5"/>
  <c r="E18" i="5" s="1"/>
  <c r="D19" i="5"/>
  <c r="E19" i="5" s="1"/>
  <c r="E20" i="5"/>
  <c r="D21" i="5"/>
  <c r="E21" i="5" s="1"/>
  <c r="D22" i="5"/>
  <c r="E22" i="5" s="1"/>
  <c r="D23" i="5"/>
  <c r="E23" i="5" s="1"/>
  <c r="D24" i="5"/>
  <c r="E24" i="5" s="1"/>
  <c r="D25" i="5"/>
  <c r="E25" i="5" s="1"/>
  <c r="D26" i="5"/>
  <c r="E26" i="5" s="1"/>
  <c r="D27" i="5"/>
  <c r="E27" i="5" s="1"/>
  <c r="D28" i="5"/>
  <c r="E28" i="5" s="1"/>
  <c r="D29" i="5"/>
  <c r="E29" i="5" s="1"/>
  <c r="D30" i="5"/>
  <c r="E30" i="5" s="1"/>
  <c r="D31" i="5"/>
  <c r="E31" i="5" s="1"/>
  <c r="D32" i="5"/>
  <c r="E32" i="5" s="1"/>
  <c r="D33" i="5"/>
  <c r="E33" i="5" s="1"/>
  <c r="D34" i="5"/>
  <c r="E34" i="5" s="1"/>
  <c r="D35" i="5"/>
  <c r="E35" i="5" s="1"/>
  <c r="D36" i="5"/>
  <c r="E36" i="5" s="1"/>
  <c r="D37" i="5"/>
  <c r="E37" i="5" s="1"/>
  <c r="D38" i="5"/>
  <c r="E38" i="5" s="1"/>
  <c r="D39" i="5"/>
  <c r="E39" i="5" s="1"/>
  <c r="D40" i="5"/>
  <c r="E40" i="5" s="1"/>
  <c r="D41" i="5"/>
  <c r="E41" i="5" s="1"/>
  <c r="D42" i="5"/>
  <c r="E42" i="5" s="1"/>
  <c r="D43" i="5"/>
  <c r="E43" i="5" s="1"/>
  <c r="D44" i="5"/>
  <c r="E44" i="5" s="1"/>
  <c r="D45" i="5"/>
  <c r="E45" i="5" s="1"/>
  <c r="D46" i="5"/>
  <c r="E46" i="5" s="1"/>
  <c r="D47" i="5"/>
  <c r="E47" i="5" s="1"/>
  <c r="D48" i="5"/>
  <c r="E48" i="5" s="1"/>
  <c r="D49" i="5"/>
  <c r="E49" i="5" s="1"/>
  <c r="D50" i="5"/>
  <c r="E50" i="5" s="1"/>
  <c r="D51" i="5"/>
  <c r="E51" i="5" s="1"/>
  <c r="D52" i="5"/>
  <c r="E52" i="5" s="1"/>
  <c r="D53" i="5"/>
  <c r="E53" i="5" s="1"/>
  <c r="D54" i="5"/>
  <c r="E54" i="5" s="1"/>
  <c r="D55" i="5"/>
  <c r="E55" i="5" s="1"/>
  <c r="D56" i="5"/>
  <c r="E56" i="5" s="1"/>
  <c r="D57" i="5"/>
  <c r="E57" i="5" s="1"/>
  <c r="D58" i="5"/>
  <c r="E58" i="5" s="1"/>
  <c r="D59" i="5"/>
  <c r="E59" i="5" s="1"/>
  <c r="D60" i="5"/>
  <c r="E60" i="5" s="1"/>
  <c r="D61" i="5"/>
  <c r="E61" i="5" s="1"/>
  <c r="D62" i="5"/>
  <c r="E62" i="5" s="1"/>
  <c r="D63" i="5"/>
  <c r="E63" i="5" s="1"/>
  <c r="D64" i="5"/>
  <c r="E64" i="5" s="1"/>
  <c r="D65" i="5"/>
  <c r="E65" i="5" s="1"/>
  <c r="D66" i="5"/>
  <c r="E66" i="5" s="1"/>
  <c r="D67" i="5"/>
  <c r="E67" i="5" s="1"/>
  <c r="D68" i="5"/>
  <c r="E68" i="5" s="1"/>
  <c r="D69" i="5"/>
  <c r="E69" i="5" s="1"/>
  <c r="D70" i="5"/>
  <c r="E70" i="5" s="1"/>
  <c r="D71" i="5"/>
  <c r="E71" i="5" s="1"/>
  <c r="D72" i="5"/>
  <c r="E72" i="5" s="1"/>
  <c r="D73" i="5"/>
  <c r="E73" i="5" s="1"/>
  <c r="D74" i="5"/>
  <c r="E74" i="5" s="1"/>
  <c r="D75" i="5"/>
  <c r="E75" i="5" s="1"/>
  <c r="D76" i="5"/>
  <c r="E76" i="5" s="1"/>
  <c r="D77" i="5"/>
  <c r="E77" i="5" s="1"/>
  <c r="D78" i="5"/>
  <c r="E78" i="5" s="1"/>
  <c r="D79" i="5"/>
  <c r="E79" i="5" s="1"/>
  <c r="D80" i="5"/>
  <c r="E80" i="5" s="1"/>
  <c r="D81" i="5"/>
  <c r="E81" i="5" s="1"/>
  <c r="D82" i="5"/>
  <c r="E82" i="5" s="1"/>
  <c r="D83" i="5"/>
  <c r="E83" i="5" s="1"/>
  <c r="D84" i="5"/>
  <c r="E84" i="5" s="1"/>
  <c r="D85" i="5"/>
  <c r="E85" i="5" s="1"/>
  <c r="D86" i="5"/>
  <c r="E86" i="5" s="1"/>
  <c r="D87" i="5"/>
  <c r="E87" i="5" s="1"/>
  <c r="D88" i="5"/>
  <c r="E88" i="5" s="1"/>
  <c r="D89" i="5"/>
  <c r="E89" i="5" s="1"/>
  <c r="D90" i="5"/>
  <c r="E90" i="5" s="1"/>
  <c r="D91" i="5"/>
  <c r="E91" i="5" s="1"/>
  <c r="D92" i="5"/>
  <c r="E92" i="5" s="1"/>
  <c r="D93" i="5"/>
  <c r="E93" i="5" s="1"/>
  <c r="D94" i="5"/>
  <c r="E94" i="5" s="1"/>
  <c r="D95" i="5"/>
  <c r="E95" i="5" s="1"/>
  <c r="D96" i="5"/>
  <c r="E96" i="5" s="1"/>
  <c r="D97" i="5"/>
  <c r="E97" i="5" s="1"/>
  <c r="D98" i="5"/>
  <c r="E98" i="5" s="1"/>
  <c r="D99" i="5"/>
  <c r="E99" i="5" s="1"/>
  <c r="D100" i="5"/>
  <c r="E100" i="5" s="1"/>
  <c r="D101" i="5"/>
  <c r="E101" i="5" s="1"/>
  <c r="D102" i="5"/>
  <c r="E102" i="5" s="1"/>
  <c r="D103" i="5"/>
  <c r="E103" i="5" s="1"/>
  <c r="D104" i="5"/>
  <c r="E104" i="5" s="1"/>
  <c r="D105" i="5"/>
  <c r="E105" i="5" s="1"/>
  <c r="D106" i="5"/>
  <c r="E106" i="5" s="1"/>
  <c r="D107" i="5"/>
  <c r="E107" i="5" s="1"/>
  <c r="D108" i="5"/>
  <c r="E108" i="5" s="1"/>
  <c r="D109" i="5"/>
  <c r="E109" i="5" s="1"/>
  <c r="D110" i="5"/>
  <c r="E110" i="5" s="1"/>
  <c r="D111" i="5"/>
  <c r="E111" i="5" s="1"/>
  <c r="D112" i="5"/>
  <c r="E112" i="5" s="1"/>
  <c r="D113" i="5"/>
  <c r="E113" i="5" s="1"/>
  <c r="D114" i="5"/>
  <c r="E114" i="5" s="1"/>
  <c r="D115" i="5"/>
  <c r="E115" i="5" s="1"/>
  <c r="D116" i="5"/>
  <c r="E116" i="5" s="1"/>
  <c r="D117" i="5"/>
  <c r="E117" i="5" s="1"/>
  <c r="D118" i="5"/>
  <c r="E118" i="5" s="1"/>
  <c r="D119" i="5"/>
  <c r="E119" i="5" s="1"/>
  <c r="D120" i="5"/>
  <c r="E120" i="5" s="1"/>
  <c r="D121" i="5"/>
  <c r="E121" i="5" s="1"/>
  <c r="D122" i="5"/>
  <c r="E122" i="5" s="1"/>
  <c r="D123" i="5"/>
  <c r="E123" i="5" s="1"/>
  <c r="D124" i="5"/>
  <c r="E124" i="5" s="1"/>
  <c r="D125" i="5"/>
  <c r="E125" i="5" s="1"/>
  <c r="D126" i="5"/>
  <c r="E126" i="5" s="1"/>
  <c r="D127" i="5"/>
  <c r="E127" i="5" s="1"/>
  <c r="D128" i="5"/>
  <c r="E128" i="5" s="1"/>
  <c r="D129" i="5"/>
  <c r="E129" i="5" s="1"/>
  <c r="D130" i="5"/>
  <c r="E130" i="5" s="1"/>
  <c r="D131" i="5"/>
  <c r="E131" i="5" s="1"/>
  <c r="D132" i="5"/>
  <c r="E132" i="5" s="1"/>
  <c r="D133" i="5"/>
  <c r="E133" i="5" s="1"/>
  <c r="D134" i="5"/>
  <c r="E134" i="5" s="1"/>
  <c r="D135" i="5"/>
  <c r="E135" i="5" s="1"/>
  <c r="D136" i="5"/>
  <c r="E136" i="5" s="1"/>
  <c r="D137" i="5"/>
  <c r="E137" i="5" s="1"/>
  <c r="D138" i="5"/>
  <c r="E138" i="5" s="1"/>
  <c r="D139" i="5"/>
  <c r="E139" i="5" s="1"/>
  <c r="D140" i="5"/>
  <c r="E140" i="5" s="1"/>
  <c r="D141" i="5"/>
  <c r="E141" i="5" s="1"/>
  <c r="D142" i="5"/>
  <c r="E142" i="5" s="1"/>
  <c r="D143" i="5"/>
  <c r="E143" i="5" s="1"/>
  <c r="D144" i="5"/>
  <c r="E144" i="5" s="1"/>
  <c r="D145" i="5"/>
  <c r="E145" i="5" s="1"/>
  <c r="D146" i="5"/>
  <c r="E146" i="5" s="1"/>
  <c r="D147" i="5"/>
  <c r="E147" i="5" s="1"/>
  <c r="D148" i="5"/>
  <c r="E148" i="5" s="1"/>
  <c r="D149" i="5"/>
  <c r="E149" i="5" s="1"/>
  <c r="D150" i="5"/>
  <c r="E150" i="5" s="1"/>
  <c r="D151" i="5"/>
  <c r="E151" i="5" s="1"/>
  <c r="D152" i="5"/>
  <c r="E152" i="5" s="1"/>
  <c r="D153" i="5"/>
  <c r="E153" i="5" s="1"/>
  <c r="D154" i="5"/>
  <c r="E154" i="5" s="1"/>
  <c r="D155" i="5"/>
  <c r="E155" i="5" s="1"/>
  <c r="D156" i="5"/>
  <c r="E156" i="5" s="1"/>
  <c r="D157" i="5"/>
  <c r="E157" i="5" s="1"/>
  <c r="D158" i="5"/>
  <c r="E158" i="5" s="1"/>
  <c r="D159" i="5"/>
  <c r="E159" i="5" s="1"/>
  <c r="D160" i="5"/>
  <c r="E160" i="5" s="1"/>
  <c r="D161" i="5"/>
  <c r="E161" i="5" s="1"/>
  <c r="D162" i="5"/>
  <c r="E162" i="5" s="1"/>
  <c r="D163" i="5"/>
  <c r="E163" i="5" s="1"/>
  <c r="D164" i="5"/>
  <c r="E164" i="5" s="1"/>
  <c r="D165" i="5"/>
  <c r="E165" i="5" s="1"/>
  <c r="D166" i="5"/>
  <c r="E166" i="5" s="1"/>
  <c r="D167" i="5"/>
  <c r="E167" i="5" s="1"/>
  <c r="D168" i="5"/>
  <c r="E168" i="5" s="1"/>
  <c r="D169" i="5"/>
  <c r="E169" i="5" s="1"/>
  <c r="D170" i="5"/>
  <c r="E170" i="5" s="1"/>
  <c r="D171" i="5"/>
  <c r="E171" i="5" s="1"/>
  <c r="D172" i="5"/>
  <c r="E172" i="5" s="1"/>
  <c r="D173" i="5"/>
  <c r="E173" i="5" s="1"/>
  <c r="D174" i="5"/>
  <c r="E174" i="5" s="1"/>
  <c r="D175" i="5"/>
  <c r="E175" i="5" s="1"/>
  <c r="D176" i="5"/>
  <c r="E176" i="5" s="1"/>
  <c r="D177" i="5"/>
  <c r="E177" i="5" s="1"/>
  <c r="D178" i="5"/>
  <c r="E178" i="5" s="1"/>
  <c r="D179" i="5"/>
  <c r="E179" i="5" s="1"/>
  <c r="D180" i="5"/>
  <c r="E180" i="5" s="1"/>
  <c r="D181" i="5"/>
  <c r="E181" i="5" s="1"/>
  <c r="D182" i="5"/>
  <c r="E182" i="5" s="1"/>
  <c r="D183" i="5"/>
  <c r="E183" i="5" s="1"/>
  <c r="D184" i="5"/>
  <c r="E184" i="5" s="1"/>
  <c r="D185" i="5"/>
  <c r="E185" i="5" s="1"/>
  <c r="D186" i="5"/>
  <c r="E186" i="5" s="1"/>
  <c r="D187" i="5"/>
  <c r="E187" i="5" s="1"/>
  <c r="D188" i="5"/>
  <c r="E188" i="5" s="1"/>
  <c r="D189" i="5"/>
  <c r="E189" i="5" s="1"/>
  <c r="D190" i="5"/>
  <c r="E190" i="5" s="1"/>
  <c r="D191" i="5"/>
  <c r="E191" i="5" s="1"/>
  <c r="D192" i="5"/>
  <c r="E192" i="5" s="1"/>
  <c r="D193" i="5"/>
  <c r="E193" i="5" s="1"/>
  <c r="D194" i="5"/>
  <c r="E194" i="5" s="1"/>
  <c r="D195" i="5"/>
  <c r="E195" i="5" s="1"/>
  <c r="D196" i="5"/>
  <c r="E196" i="5" s="1"/>
  <c r="D197" i="5"/>
  <c r="E197" i="5" s="1"/>
  <c r="D198" i="5"/>
  <c r="E198" i="5" s="1"/>
  <c r="D199" i="5"/>
  <c r="E199" i="5" s="1"/>
  <c r="D200" i="5"/>
  <c r="E200" i="5" s="1"/>
  <c r="D201" i="5"/>
  <c r="E201" i="5" s="1"/>
  <c r="D202" i="5"/>
  <c r="E202" i="5" s="1"/>
  <c r="D203" i="5"/>
  <c r="E203" i="5" s="1"/>
  <c r="D204" i="5"/>
  <c r="E204" i="5" s="1"/>
  <c r="D205" i="5"/>
  <c r="E205" i="5" s="1"/>
  <c r="D206" i="5"/>
  <c r="E206" i="5" s="1"/>
  <c r="D207" i="5"/>
  <c r="E207" i="5" s="1"/>
  <c r="D208" i="5"/>
  <c r="E208" i="5" s="1"/>
  <c r="D209" i="5"/>
  <c r="E209" i="5" s="1"/>
  <c r="D210" i="5"/>
  <c r="E210" i="5" s="1"/>
  <c r="D211" i="5"/>
  <c r="E211" i="5" s="1"/>
  <c r="D212" i="5"/>
  <c r="E212" i="5" s="1"/>
  <c r="D213" i="5"/>
  <c r="E213" i="5" s="1"/>
  <c r="D214" i="5"/>
  <c r="E214" i="5" s="1"/>
  <c r="D215" i="5"/>
  <c r="E215" i="5" s="1"/>
  <c r="D216" i="5"/>
  <c r="E216" i="5" s="1"/>
  <c r="D217" i="5"/>
  <c r="E217" i="5" s="1"/>
  <c r="D218" i="5"/>
  <c r="E218" i="5" s="1"/>
  <c r="D219" i="5"/>
  <c r="E219" i="5" s="1"/>
  <c r="D220" i="5"/>
  <c r="E220" i="5" s="1"/>
  <c r="D221" i="5"/>
  <c r="E221" i="5" s="1"/>
  <c r="D222" i="5"/>
  <c r="E222" i="5" s="1"/>
  <c r="D223" i="5"/>
  <c r="E223" i="5" s="1"/>
  <c r="D224" i="5"/>
  <c r="E224" i="5" s="1"/>
  <c r="D225" i="5"/>
  <c r="E225" i="5" s="1"/>
  <c r="D226" i="5"/>
  <c r="E226" i="5" s="1"/>
  <c r="D227" i="5"/>
  <c r="E227" i="5" s="1"/>
  <c r="D228" i="5"/>
  <c r="E228" i="5" s="1"/>
  <c r="D229" i="5"/>
  <c r="E229" i="5" s="1"/>
  <c r="D230" i="5"/>
  <c r="E230" i="5" s="1"/>
  <c r="D231" i="5"/>
  <c r="E231" i="5" s="1"/>
  <c r="D232" i="5"/>
  <c r="E232" i="5" s="1"/>
  <c r="D233" i="5"/>
  <c r="E233" i="5" s="1"/>
  <c r="D234" i="5"/>
  <c r="E234" i="5" s="1"/>
  <c r="D235" i="5"/>
  <c r="E235" i="5" s="1"/>
  <c r="D236" i="5"/>
  <c r="E236" i="5" s="1"/>
  <c r="D237" i="5"/>
  <c r="E237" i="5" s="1"/>
  <c r="D238" i="5"/>
  <c r="E238" i="5" s="1"/>
  <c r="D239" i="5"/>
  <c r="E239" i="5" s="1"/>
  <c r="D240" i="5"/>
  <c r="E240" i="5" s="1"/>
  <c r="D241" i="5"/>
  <c r="E241" i="5" s="1"/>
  <c r="D242" i="5"/>
  <c r="E242" i="5" s="1"/>
  <c r="D243" i="5"/>
  <c r="E243" i="5" s="1"/>
  <c r="D244" i="5"/>
  <c r="E244" i="5" s="1"/>
  <c r="D245" i="5"/>
  <c r="E245" i="5" s="1"/>
  <c r="D246" i="5"/>
  <c r="E246" i="5" s="1"/>
  <c r="D247" i="5"/>
  <c r="E247" i="5" s="1"/>
  <c r="D248" i="5"/>
  <c r="E248" i="5" s="1"/>
  <c r="D249" i="5"/>
  <c r="E249" i="5" s="1"/>
  <c r="D250" i="5"/>
  <c r="E250" i="5" s="1"/>
  <c r="D251" i="5"/>
  <c r="E251" i="5" s="1"/>
  <c r="D252" i="5"/>
  <c r="E252" i="5" s="1"/>
  <c r="D253" i="5"/>
  <c r="E253" i="5" s="1"/>
  <c r="D254" i="5"/>
  <c r="E254" i="5" s="1"/>
  <c r="D255" i="5"/>
  <c r="E255" i="5" s="1"/>
  <c r="D256" i="5"/>
  <c r="E256" i="5" s="1"/>
  <c r="D257" i="5"/>
  <c r="E257" i="5" s="1"/>
  <c r="D258" i="5"/>
  <c r="E258" i="5" s="1"/>
  <c r="D259" i="5"/>
  <c r="E259" i="5" s="1"/>
  <c r="D260" i="5"/>
  <c r="E260" i="5" s="1"/>
  <c r="D261" i="5"/>
  <c r="E261" i="5" s="1"/>
  <c r="D262" i="5"/>
  <c r="E262" i="5" s="1"/>
  <c r="D263" i="5"/>
  <c r="E263" i="5" s="1"/>
  <c r="D264" i="5"/>
  <c r="E264" i="5" s="1"/>
  <c r="D265" i="5"/>
  <c r="E265" i="5" s="1"/>
  <c r="D266" i="5"/>
  <c r="E266" i="5" s="1"/>
  <c r="D267" i="5"/>
  <c r="E267" i="5" s="1"/>
  <c r="D268" i="5"/>
  <c r="E268" i="5" s="1"/>
  <c r="D269" i="5"/>
  <c r="E269" i="5" s="1"/>
  <c r="D270" i="5"/>
  <c r="E270" i="5" s="1"/>
  <c r="D271" i="5"/>
  <c r="E271" i="5" s="1"/>
  <c r="D272" i="5"/>
  <c r="E272" i="5" s="1"/>
  <c r="D273" i="5"/>
  <c r="E273" i="5" s="1"/>
  <c r="D274" i="5"/>
  <c r="E274" i="5" s="1"/>
  <c r="D275" i="5"/>
  <c r="E275" i="5" s="1"/>
  <c r="D276" i="5"/>
  <c r="E276" i="5" s="1"/>
  <c r="D277" i="5"/>
  <c r="E277" i="5" s="1"/>
  <c r="D278" i="5"/>
  <c r="E278" i="5" s="1"/>
  <c r="D279" i="5"/>
  <c r="E279" i="5" s="1"/>
  <c r="D280" i="5"/>
  <c r="E280" i="5" s="1"/>
  <c r="D281" i="5"/>
  <c r="E281" i="5" s="1"/>
  <c r="D282" i="5"/>
  <c r="E282" i="5" s="1"/>
  <c r="D283" i="5"/>
  <c r="E283" i="5" s="1"/>
  <c r="D284" i="5"/>
  <c r="E284" i="5" s="1"/>
  <c r="D285" i="5"/>
  <c r="E285" i="5" s="1"/>
  <c r="D286" i="5"/>
  <c r="E286" i="5" s="1"/>
  <c r="D287" i="5"/>
  <c r="E287" i="5" s="1"/>
  <c r="D288" i="5"/>
  <c r="E288" i="5" s="1"/>
  <c r="D289" i="5"/>
  <c r="E289" i="5" s="1"/>
  <c r="D290" i="5"/>
  <c r="E290" i="5" s="1"/>
  <c r="D291" i="5"/>
  <c r="E291" i="5" s="1"/>
  <c r="D292" i="5"/>
  <c r="E292" i="5" s="1"/>
  <c r="D293" i="5"/>
  <c r="E293" i="5" s="1"/>
  <c r="D294" i="5"/>
  <c r="E294" i="5" s="1"/>
  <c r="D295" i="5"/>
  <c r="E295" i="5" s="1"/>
  <c r="D296" i="5"/>
  <c r="E296" i="5" s="1"/>
  <c r="D297" i="5"/>
  <c r="E297" i="5" s="1"/>
  <c r="D298" i="5"/>
  <c r="E298" i="5" s="1"/>
  <c r="D299" i="5"/>
  <c r="E299" i="5" s="1"/>
  <c r="D300" i="5"/>
  <c r="E300" i="5" s="1"/>
  <c r="D301" i="5"/>
  <c r="E301" i="5" s="1"/>
  <c r="D302" i="5"/>
  <c r="E302" i="5" s="1"/>
  <c r="D303" i="5"/>
  <c r="E303" i="5" s="1"/>
  <c r="D304" i="5"/>
  <c r="E304" i="5" s="1"/>
  <c r="D305" i="5"/>
  <c r="E305" i="5" s="1"/>
  <c r="D306" i="5"/>
  <c r="E306" i="5" s="1"/>
  <c r="D307" i="5"/>
  <c r="E307" i="5" s="1"/>
  <c r="D308" i="5"/>
  <c r="E308" i="5" s="1"/>
  <c r="D309" i="5"/>
  <c r="E309" i="5" s="1"/>
  <c r="D310" i="5"/>
  <c r="E310" i="5" s="1"/>
  <c r="D311" i="5"/>
  <c r="E311" i="5" s="1"/>
  <c r="D312" i="5"/>
  <c r="E312" i="5" s="1"/>
  <c r="D313" i="5"/>
  <c r="E313" i="5" s="1"/>
  <c r="D314" i="5"/>
  <c r="E314" i="5" s="1"/>
  <c r="D315" i="5"/>
  <c r="E315" i="5" s="1"/>
  <c r="D316" i="5"/>
  <c r="E316" i="5" s="1"/>
  <c r="D317" i="5"/>
  <c r="E317" i="5" s="1"/>
  <c r="D318" i="5"/>
  <c r="E318" i="5" s="1"/>
  <c r="D319" i="5"/>
  <c r="E319" i="5" s="1"/>
  <c r="D320" i="5"/>
  <c r="E320" i="5" s="1"/>
  <c r="D321" i="5"/>
  <c r="E321" i="5" s="1"/>
  <c r="D322" i="5"/>
  <c r="E322" i="5" s="1"/>
  <c r="D323" i="5"/>
  <c r="E323" i="5" s="1"/>
  <c r="D324" i="5"/>
  <c r="E324" i="5" s="1"/>
  <c r="D325" i="5"/>
  <c r="E325" i="5" s="1"/>
  <c r="D326" i="5"/>
  <c r="E326" i="5" s="1"/>
  <c r="D327" i="5"/>
  <c r="E327" i="5" s="1"/>
  <c r="D328" i="5"/>
  <c r="E328" i="5" s="1"/>
  <c r="D329" i="5"/>
  <c r="E329" i="5" s="1"/>
  <c r="D330" i="5"/>
  <c r="E330" i="5" s="1"/>
  <c r="D331" i="5"/>
  <c r="E331" i="5" s="1"/>
  <c r="D332" i="5"/>
  <c r="E332" i="5" s="1"/>
  <c r="D333" i="5"/>
  <c r="E333" i="5" s="1"/>
  <c r="D334" i="5"/>
  <c r="E334" i="5" s="1"/>
  <c r="D335" i="5"/>
  <c r="E335" i="5" s="1"/>
  <c r="D336" i="5"/>
  <c r="E336" i="5" s="1"/>
  <c r="D337" i="5"/>
  <c r="E337" i="5" s="1"/>
  <c r="D338" i="5"/>
  <c r="E338" i="5" s="1"/>
  <c r="D339" i="5"/>
  <c r="E339" i="5" s="1"/>
  <c r="D340" i="5"/>
  <c r="E340" i="5" s="1"/>
  <c r="D341" i="5"/>
  <c r="E341" i="5" s="1"/>
  <c r="D342" i="5"/>
  <c r="E342" i="5" s="1"/>
  <c r="D343" i="5"/>
  <c r="E343" i="5" s="1"/>
  <c r="D344" i="5"/>
  <c r="E344" i="5" s="1"/>
  <c r="D345" i="5"/>
  <c r="E345" i="5" s="1"/>
  <c r="D346" i="5"/>
  <c r="E346" i="5" s="1"/>
  <c r="D347" i="5"/>
  <c r="E347" i="5" s="1"/>
  <c r="D348" i="5"/>
  <c r="E348" i="5" s="1"/>
  <c r="D349" i="5"/>
  <c r="E349" i="5" s="1"/>
  <c r="D350" i="5"/>
  <c r="E350" i="5" s="1"/>
  <c r="D351" i="5"/>
  <c r="E351" i="5" s="1"/>
  <c r="D352" i="5"/>
  <c r="E352" i="5" s="1"/>
  <c r="D353" i="5"/>
  <c r="E353" i="5" s="1"/>
  <c r="D354" i="5"/>
  <c r="E354" i="5" s="1"/>
  <c r="D355" i="5"/>
  <c r="E355" i="5" s="1"/>
  <c r="D356" i="5"/>
  <c r="E356" i="5" s="1"/>
  <c r="D357" i="5"/>
  <c r="E357" i="5" s="1"/>
  <c r="D358" i="5"/>
  <c r="E358" i="5" s="1"/>
  <c r="D359" i="5"/>
  <c r="E359" i="5" s="1"/>
  <c r="D360" i="5"/>
  <c r="E360" i="5" s="1"/>
  <c r="D361" i="5"/>
  <c r="E361" i="5" s="1"/>
  <c r="D362" i="5"/>
  <c r="E362" i="5" s="1"/>
  <c r="D363" i="5"/>
  <c r="E363" i="5" s="1"/>
  <c r="D364" i="5"/>
  <c r="E364" i="5" s="1"/>
  <c r="D365" i="5"/>
  <c r="E365" i="5" s="1"/>
  <c r="D366" i="5"/>
  <c r="E366" i="5" s="1"/>
  <c r="D367" i="5"/>
  <c r="E367" i="5" s="1"/>
  <c r="D368" i="5"/>
  <c r="E368" i="5" s="1"/>
  <c r="D369" i="5"/>
  <c r="E369" i="5" s="1"/>
  <c r="D370" i="5"/>
  <c r="E370" i="5" s="1"/>
  <c r="D371" i="5"/>
  <c r="E371" i="5" s="1"/>
  <c r="D372" i="5"/>
  <c r="E372" i="5" s="1"/>
  <c r="D373" i="5"/>
  <c r="E373" i="5" s="1"/>
  <c r="D374" i="5"/>
  <c r="E374" i="5" s="1"/>
  <c r="D375" i="5"/>
  <c r="E375" i="5" s="1"/>
  <c r="D376" i="5"/>
  <c r="E376" i="5" s="1"/>
  <c r="D377" i="5"/>
  <c r="E377" i="5" s="1"/>
  <c r="D378" i="5"/>
  <c r="E378" i="5" s="1"/>
  <c r="D379" i="5"/>
  <c r="E379" i="5" s="1"/>
  <c r="D380" i="5"/>
  <c r="E380" i="5" s="1"/>
  <c r="D381" i="5"/>
  <c r="E381" i="5" s="1"/>
  <c r="D382" i="5"/>
  <c r="E382" i="5" s="1"/>
  <c r="D383" i="5"/>
  <c r="E383" i="5" s="1"/>
  <c r="D384" i="5"/>
  <c r="E384" i="5" s="1"/>
  <c r="D385" i="5"/>
  <c r="E385" i="5" s="1"/>
  <c r="D386" i="5"/>
  <c r="E386" i="5" s="1"/>
  <c r="D387" i="5"/>
  <c r="E387" i="5" s="1"/>
  <c r="D388" i="5"/>
  <c r="E388" i="5" s="1"/>
  <c r="D389" i="5"/>
  <c r="E389" i="5" s="1"/>
  <c r="D390" i="5"/>
  <c r="E390" i="5" s="1"/>
  <c r="D391" i="5"/>
  <c r="E391" i="5" s="1"/>
  <c r="D392" i="5"/>
  <c r="E392" i="5" s="1"/>
  <c r="D393" i="5"/>
  <c r="E393" i="5" s="1"/>
  <c r="D394" i="5"/>
  <c r="E394" i="5" s="1"/>
  <c r="D395" i="5"/>
  <c r="E395" i="5" s="1"/>
  <c r="D396" i="5"/>
  <c r="E396" i="5" s="1"/>
  <c r="D397" i="5"/>
  <c r="E397" i="5" s="1"/>
  <c r="D398" i="5"/>
  <c r="E398" i="5" s="1"/>
  <c r="D399" i="5"/>
  <c r="E399" i="5" s="1"/>
  <c r="D400" i="5"/>
  <c r="E400" i="5" s="1"/>
  <c r="D401" i="5"/>
  <c r="E401" i="5" s="1"/>
  <c r="D402" i="5"/>
  <c r="E402" i="5" s="1"/>
  <c r="D403" i="5"/>
  <c r="E403" i="5" s="1"/>
  <c r="D404" i="5"/>
  <c r="E404" i="5" s="1"/>
  <c r="D405" i="5"/>
  <c r="E405" i="5" s="1"/>
  <c r="D406" i="5"/>
  <c r="E406" i="5" s="1"/>
  <c r="D407" i="5"/>
  <c r="E407" i="5" s="1"/>
  <c r="D408" i="5"/>
  <c r="E408" i="5" s="1"/>
  <c r="D409" i="5"/>
  <c r="E409" i="5" s="1"/>
  <c r="D410" i="5"/>
  <c r="E410" i="5" s="1"/>
  <c r="D411" i="5"/>
  <c r="E411" i="5" s="1"/>
  <c r="D412" i="5"/>
  <c r="E412" i="5" s="1"/>
  <c r="D413" i="5"/>
  <c r="E413" i="5" s="1"/>
  <c r="D414" i="5"/>
  <c r="E414" i="5" s="1"/>
  <c r="D415" i="5"/>
  <c r="E415" i="5" s="1"/>
  <c r="D416" i="5"/>
  <c r="E416" i="5" s="1"/>
  <c r="D417" i="5"/>
  <c r="E417" i="5" s="1"/>
  <c r="D418" i="5"/>
  <c r="E418" i="5" s="1"/>
  <c r="D419" i="5"/>
  <c r="E419" i="5" s="1"/>
  <c r="D420" i="5"/>
  <c r="E420" i="5" s="1"/>
  <c r="D421" i="5"/>
  <c r="E421" i="5" s="1"/>
  <c r="D422" i="5"/>
  <c r="E422" i="5" s="1"/>
  <c r="D423" i="5"/>
  <c r="E423" i="5" s="1"/>
  <c r="D424" i="5"/>
  <c r="E424" i="5" s="1"/>
  <c r="D425" i="5"/>
  <c r="E425" i="5" s="1"/>
  <c r="D426" i="5"/>
  <c r="E426" i="5" s="1"/>
  <c r="D427" i="5"/>
  <c r="E427" i="5" s="1"/>
  <c r="D428" i="5"/>
  <c r="E428" i="5" s="1"/>
  <c r="D429" i="5"/>
  <c r="E429" i="5" s="1"/>
  <c r="D430" i="5"/>
  <c r="E430" i="5" s="1"/>
  <c r="D431" i="5"/>
  <c r="E431" i="5" s="1"/>
  <c r="D432" i="5"/>
  <c r="E432" i="5" s="1"/>
  <c r="D433" i="5"/>
  <c r="E433" i="5" s="1"/>
  <c r="D434" i="5"/>
  <c r="E434" i="5" s="1"/>
  <c r="D435" i="5"/>
  <c r="E435" i="5" s="1"/>
  <c r="D436" i="5"/>
  <c r="E436" i="5" s="1"/>
  <c r="D437" i="5"/>
  <c r="E437" i="5" s="1"/>
  <c r="D438" i="5"/>
  <c r="E438" i="5" s="1"/>
  <c r="D439" i="5"/>
  <c r="E439" i="5" s="1"/>
  <c r="D440" i="5"/>
  <c r="E440" i="5" s="1"/>
  <c r="D441" i="5"/>
  <c r="E441" i="5" s="1"/>
  <c r="D442" i="5"/>
  <c r="E442" i="5" s="1"/>
  <c r="D443" i="5"/>
  <c r="E443" i="5" s="1"/>
  <c r="D444" i="5"/>
  <c r="E444" i="5" s="1"/>
  <c r="D445" i="5"/>
  <c r="E445" i="5" s="1"/>
  <c r="C5" i="4"/>
  <c r="E5" i="4"/>
  <c r="C6" i="4"/>
  <c r="E6" i="4"/>
  <c r="C7" i="4"/>
  <c r="E7" i="4"/>
  <c r="C8" i="4"/>
  <c r="E8" i="4"/>
  <c r="C9" i="4"/>
  <c r="C10" i="4"/>
  <c r="C11" i="4"/>
  <c r="E11" i="4"/>
  <c r="C12" i="4"/>
  <c r="C13" i="4"/>
  <c r="C14" i="4"/>
  <c r="C15" i="4"/>
  <c r="E15" i="4"/>
  <c r="C16" i="4"/>
  <c r="E16" i="4"/>
  <c r="C17" i="4"/>
  <c r="E17" i="4"/>
  <c r="C18" i="4"/>
  <c r="E18" i="4"/>
  <c r="C19" i="4"/>
  <c r="E19" i="4"/>
  <c r="C20" i="4"/>
  <c r="E20" i="4"/>
  <c r="C21" i="4"/>
  <c r="E21" i="4"/>
  <c r="C22" i="4"/>
  <c r="E22" i="4"/>
  <c r="C23" i="4"/>
  <c r="E23" i="4"/>
  <c r="C24" i="4"/>
  <c r="E24" i="4"/>
  <c r="C25" i="4"/>
  <c r="E25" i="4"/>
  <c r="C26" i="4"/>
  <c r="C27" i="4"/>
  <c r="C28" i="4"/>
  <c r="E28" i="4"/>
  <c r="C29" i="4"/>
  <c r="E29" i="4"/>
  <c r="C30" i="4"/>
  <c r="E30" i="4"/>
  <c r="C31" i="4"/>
  <c r="E31" i="4"/>
  <c r="C32" i="4"/>
  <c r="E32" i="4"/>
  <c r="C33" i="4"/>
  <c r="E33" i="4"/>
  <c r="C34" i="4"/>
  <c r="E34" i="4"/>
  <c r="C35" i="4"/>
  <c r="E35" i="4"/>
  <c r="C36" i="4"/>
  <c r="E36" i="4"/>
  <c r="C37" i="4"/>
  <c r="C38" i="4"/>
  <c r="C39" i="4"/>
  <c r="E39" i="4"/>
  <c r="C40" i="4"/>
  <c r="E40" i="4"/>
  <c r="C41" i="4"/>
  <c r="E41" i="4"/>
  <c r="C42" i="4"/>
  <c r="E42" i="4"/>
  <c r="C43" i="4"/>
  <c r="E43" i="4"/>
  <c r="C44" i="4"/>
  <c r="E44" i="4"/>
  <c r="C45" i="4"/>
  <c r="E45" i="4"/>
  <c r="C46" i="4"/>
  <c r="E46" i="4"/>
  <c r="C47" i="4"/>
  <c r="E47" i="4"/>
  <c r="C48" i="4"/>
  <c r="E48" i="4"/>
  <c r="C49" i="4"/>
  <c r="E49" i="4"/>
  <c r="C50" i="4"/>
  <c r="E50" i="4"/>
  <c r="C51" i="4"/>
  <c r="E51" i="4"/>
  <c r="C52" i="4"/>
  <c r="E52" i="4"/>
  <c r="C53" i="4"/>
  <c r="E53" i="4"/>
  <c r="C54" i="4"/>
  <c r="E54" i="4"/>
  <c r="C55" i="4"/>
  <c r="E55" i="4"/>
  <c r="C56" i="4"/>
  <c r="E56" i="4"/>
  <c r="C57" i="4"/>
  <c r="E57" i="4"/>
  <c r="C58" i="4"/>
  <c r="E58" i="4"/>
  <c r="C59" i="4"/>
  <c r="E59" i="4"/>
  <c r="C60" i="4"/>
  <c r="E60" i="4"/>
  <c r="C61" i="4"/>
  <c r="E61" i="4"/>
  <c r="C62" i="4"/>
  <c r="E62" i="4"/>
  <c r="C63" i="4"/>
  <c r="E63" i="4"/>
  <c r="C64" i="4"/>
  <c r="E64" i="4"/>
  <c r="C65" i="4"/>
  <c r="E65" i="4"/>
  <c r="C66" i="4"/>
  <c r="E66" i="4"/>
  <c r="C67" i="4"/>
  <c r="E67" i="4"/>
  <c r="C68" i="4"/>
  <c r="E68" i="4"/>
  <c r="C69" i="4"/>
  <c r="E69" i="4"/>
  <c r="C70" i="4"/>
  <c r="E70" i="4"/>
  <c r="C71" i="4"/>
  <c r="E71" i="4"/>
  <c r="C72" i="4"/>
  <c r="E72" i="4"/>
  <c r="C73" i="4"/>
  <c r="E73" i="4"/>
  <c r="C74" i="4"/>
  <c r="E74" i="4"/>
  <c r="C75" i="4"/>
  <c r="E75" i="4"/>
  <c r="C76" i="4"/>
  <c r="E76" i="4"/>
  <c r="C77" i="4"/>
  <c r="E77" i="4"/>
  <c r="C78" i="4"/>
  <c r="E78" i="4"/>
  <c r="C79" i="4"/>
  <c r="E79" i="4"/>
  <c r="C80" i="4"/>
  <c r="E80" i="4"/>
  <c r="C81" i="4"/>
  <c r="E81" i="4"/>
  <c r="C82" i="4"/>
  <c r="E82" i="4"/>
  <c r="C83" i="4"/>
  <c r="E83" i="4"/>
  <c r="C84" i="4"/>
  <c r="E84" i="4"/>
  <c r="C85" i="4"/>
  <c r="E85" i="4"/>
  <c r="C86" i="4"/>
  <c r="E86" i="4"/>
  <c r="C87" i="4"/>
  <c r="E87" i="4"/>
  <c r="C88" i="4"/>
  <c r="E88" i="4"/>
  <c r="C89" i="4"/>
  <c r="E89" i="4"/>
  <c r="C90" i="4"/>
  <c r="E90" i="4"/>
  <c r="C91" i="4"/>
  <c r="E91" i="4"/>
  <c r="C92" i="4"/>
  <c r="E92" i="4"/>
  <c r="C93" i="4"/>
  <c r="C94" i="4"/>
  <c r="C95" i="4"/>
  <c r="C96" i="4"/>
  <c r="C97" i="4"/>
  <c r="E97" i="4"/>
  <c r="C98" i="4"/>
  <c r="E98" i="4"/>
  <c r="C99" i="4"/>
  <c r="E99" i="4"/>
  <c r="C100" i="4"/>
  <c r="E100" i="4"/>
  <c r="C101" i="4"/>
  <c r="E101" i="4"/>
  <c r="C102" i="4"/>
  <c r="E102" i="4"/>
  <c r="C103" i="4"/>
  <c r="E103" i="4"/>
  <c r="C104" i="4"/>
  <c r="E104" i="4"/>
  <c r="C105" i="4"/>
  <c r="E105" i="4"/>
  <c r="C106" i="4"/>
  <c r="E106" i="4"/>
  <c r="C107" i="4"/>
  <c r="E107" i="4"/>
  <c r="C108" i="4"/>
  <c r="E108" i="4"/>
  <c r="C109" i="4"/>
  <c r="E109" i="4"/>
  <c r="C110" i="4"/>
  <c r="E110" i="4"/>
  <c r="C111" i="4"/>
  <c r="E111" i="4"/>
  <c r="C112" i="4"/>
  <c r="E112" i="4"/>
  <c r="C113" i="4"/>
  <c r="E113" i="4"/>
  <c r="C114" i="4"/>
  <c r="E114" i="4"/>
  <c r="C115" i="4"/>
  <c r="E115" i="4"/>
  <c r="C116" i="4"/>
  <c r="E116" i="4"/>
  <c r="C117" i="4"/>
  <c r="E117" i="4"/>
  <c r="C118" i="4"/>
  <c r="E118" i="4"/>
  <c r="C119" i="4"/>
  <c r="E119" i="4"/>
  <c r="C120" i="4"/>
  <c r="E120" i="4"/>
  <c r="C121" i="4"/>
  <c r="E121" i="4"/>
  <c r="C122" i="4"/>
  <c r="E122" i="4"/>
  <c r="C123" i="4"/>
  <c r="E123" i="4"/>
  <c r="C124" i="4"/>
  <c r="E124" i="4"/>
  <c r="C125" i="4"/>
  <c r="E125" i="4"/>
  <c r="C126" i="4"/>
  <c r="E126" i="4"/>
  <c r="C127" i="4"/>
  <c r="E127" i="4"/>
  <c r="C128" i="4"/>
  <c r="E128" i="4"/>
  <c r="C129" i="4"/>
  <c r="E129" i="4"/>
  <c r="C130" i="4"/>
  <c r="E130" i="4"/>
  <c r="C131" i="4"/>
  <c r="E131" i="4"/>
  <c r="C132" i="4"/>
  <c r="E132" i="4"/>
  <c r="C133" i="4"/>
  <c r="E133" i="4"/>
  <c r="C134" i="4"/>
  <c r="C135" i="4"/>
  <c r="C136" i="4"/>
  <c r="E136" i="4"/>
  <c r="C137" i="4"/>
  <c r="E137" i="4"/>
  <c r="C138" i="4"/>
  <c r="E138" i="4"/>
  <c r="C139" i="4"/>
  <c r="E139" i="4"/>
  <c r="C140" i="4"/>
  <c r="E140" i="4"/>
  <c r="C141" i="4"/>
  <c r="E141" i="4"/>
  <c r="C142" i="4"/>
  <c r="E142" i="4"/>
  <c r="C143" i="4"/>
  <c r="E143" i="4"/>
  <c r="C144" i="4"/>
  <c r="E144" i="4"/>
  <c r="C145" i="4"/>
  <c r="E145" i="4"/>
  <c r="C146" i="4"/>
  <c r="E146" i="4"/>
  <c r="C147" i="4"/>
  <c r="E147" i="4"/>
  <c r="C148" i="4"/>
  <c r="E148" i="4"/>
  <c r="C149" i="4"/>
  <c r="E149" i="4"/>
  <c r="C150" i="4"/>
  <c r="E150" i="4"/>
  <c r="C151" i="4"/>
  <c r="E151" i="4"/>
  <c r="C152" i="4"/>
  <c r="E152" i="4"/>
  <c r="C153" i="4"/>
  <c r="E153" i="4"/>
  <c r="C154" i="4"/>
  <c r="E154" i="4"/>
  <c r="C155" i="4"/>
  <c r="E155" i="4"/>
  <c r="C156" i="4"/>
  <c r="E156" i="4"/>
  <c r="C157" i="4"/>
  <c r="E157" i="4"/>
  <c r="C158" i="4"/>
  <c r="E158" i="4"/>
  <c r="C159" i="4"/>
  <c r="E159" i="4"/>
  <c r="C160" i="4"/>
  <c r="E160" i="4"/>
  <c r="C161" i="4"/>
  <c r="E161" i="4"/>
  <c r="C162" i="4"/>
  <c r="E162" i="4"/>
  <c r="C163" i="4"/>
  <c r="E163" i="4"/>
  <c r="C164" i="4"/>
  <c r="E164" i="4"/>
  <c r="C165" i="4"/>
  <c r="E165" i="4"/>
  <c r="C166" i="4"/>
  <c r="E166" i="4"/>
  <c r="C167" i="4"/>
  <c r="E167" i="4"/>
  <c r="C168" i="4"/>
  <c r="E168" i="4"/>
  <c r="C169" i="4"/>
  <c r="E169" i="4"/>
  <c r="C170" i="4"/>
  <c r="E170" i="4"/>
  <c r="C171" i="4"/>
  <c r="E171" i="4"/>
  <c r="C172" i="4"/>
  <c r="E172" i="4"/>
  <c r="C173" i="4"/>
  <c r="E173" i="4"/>
  <c r="C174" i="4"/>
  <c r="E174" i="4"/>
  <c r="C175" i="4"/>
  <c r="E175" i="4"/>
  <c r="C176" i="4"/>
  <c r="E176" i="4"/>
  <c r="C177" i="4"/>
  <c r="E177" i="4"/>
  <c r="C178" i="4"/>
  <c r="E178" i="4"/>
  <c r="C179" i="4"/>
  <c r="E179" i="4"/>
  <c r="C180" i="4"/>
  <c r="E180" i="4"/>
  <c r="C181" i="4"/>
  <c r="E181" i="4"/>
  <c r="C182" i="4"/>
  <c r="E182" i="4"/>
  <c r="C183" i="4"/>
  <c r="E183" i="4"/>
  <c r="C184" i="4"/>
  <c r="E184" i="4"/>
  <c r="C185" i="4"/>
  <c r="E185" i="4"/>
  <c r="C186" i="4"/>
  <c r="E186" i="4"/>
  <c r="C187" i="4"/>
  <c r="E187" i="4"/>
  <c r="C188" i="4"/>
  <c r="E188" i="4"/>
  <c r="C189" i="4"/>
  <c r="E189" i="4"/>
  <c r="C190" i="4"/>
  <c r="E190" i="4"/>
  <c r="C191" i="4"/>
  <c r="E191" i="4"/>
  <c r="C192" i="4"/>
  <c r="E192" i="4"/>
  <c r="C193" i="4"/>
  <c r="E193" i="4"/>
  <c r="C194" i="4"/>
  <c r="E194" i="4"/>
  <c r="C195" i="4"/>
  <c r="E195" i="4"/>
  <c r="C196" i="4"/>
  <c r="E196" i="4"/>
  <c r="C197" i="4"/>
  <c r="E197" i="4"/>
  <c r="C198" i="4"/>
  <c r="E198" i="4"/>
  <c r="C199" i="4"/>
  <c r="E199" i="4"/>
  <c r="C200" i="4"/>
  <c r="E200" i="4"/>
  <c r="C201" i="4"/>
  <c r="E201" i="4"/>
  <c r="C202" i="4"/>
  <c r="E202" i="4"/>
  <c r="C203" i="4"/>
  <c r="E203" i="4"/>
  <c r="C204" i="4"/>
  <c r="E204" i="4"/>
  <c r="C205" i="4"/>
  <c r="E205" i="4"/>
  <c r="C206" i="4"/>
  <c r="E206" i="4"/>
  <c r="C207" i="4"/>
  <c r="E207" i="4"/>
  <c r="C208" i="4"/>
  <c r="E208" i="4"/>
  <c r="C209" i="4"/>
  <c r="E209" i="4"/>
  <c r="C210" i="4"/>
  <c r="E210" i="4"/>
  <c r="C211" i="4"/>
  <c r="E211" i="4"/>
  <c r="C212" i="4"/>
  <c r="E212" i="4"/>
  <c r="C213" i="4"/>
  <c r="E213" i="4"/>
  <c r="C214" i="4"/>
  <c r="E214" i="4"/>
  <c r="C215" i="4"/>
  <c r="E215" i="4"/>
  <c r="C216" i="4"/>
  <c r="E216" i="4"/>
  <c r="C217" i="4"/>
  <c r="E217" i="4"/>
  <c r="C218" i="4"/>
  <c r="E218" i="4"/>
  <c r="C219" i="4"/>
  <c r="E219" i="4"/>
  <c r="C220" i="4"/>
  <c r="E220" i="4"/>
  <c r="C221" i="4"/>
  <c r="E221" i="4"/>
  <c r="C222" i="4"/>
  <c r="E222" i="4"/>
  <c r="C223" i="4"/>
  <c r="E223" i="4"/>
  <c r="C224" i="4"/>
  <c r="E224" i="4"/>
  <c r="C225" i="4"/>
  <c r="E225" i="4"/>
  <c r="C226" i="4"/>
  <c r="E226" i="4"/>
  <c r="C227" i="4"/>
  <c r="C228" i="4"/>
  <c r="C229" i="4"/>
  <c r="E229" i="4"/>
  <c r="C230" i="4"/>
  <c r="E230" i="4"/>
  <c r="C231" i="4"/>
  <c r="E231" i="4"/>
  <c r="C232" i="4"/>
  <c r="E232" i="4"/>
  <c r="C233" i="4"/>
  <c r="E233" i="4"/>
  <c r="C234" i="4"/>
  <c r="E234" i="4"/>
  <c r="C235" i="4"/>
  <c r="E235" i="4"/>
  <c r="C236" i="4"/>
  <c r="C237" i="4"/>
  <c r="C238" i="4"/>
  <c r="E238" i="4"/>
  <c r="C239" i="4"/>
  <c r="E239" i="4"/>
  <c r="C240" i="4"/>
  <c r="C241" i="4"/>
  <c r="C242" i="4"/>
  <c r="C243" i="4"/>
  <c r="C244" i="4"/>
  <c r="C245" i="4"/>
  <c r="E245" i="4"/>
  <c r="C246" i="4"/>
  <c r="C247" i="4"/>
  <c r="C248" i="4"/>
  <c r="C249" i="4"/>
  <c r="C250" i="4"/>
  <c r="C251" i="4"/>
  <c r="C252" i="4"/>
  <c r="E252" i="4"/>
  <c r="C253" i="4"/>
  <c r="E253" i="4"/>
  <c r="C254" i="4"/>
  <c r="E254" i="4"/>
  <c r="C255" i="4"/>
  <c r="E255" i="4"/>
  <c r="C256" i="4"/>
  <c r="E256" i="4"/>
  <c r="C257" i="4"/>
  <c r="E257" i="4"/>
  <c r="C258" i="4"/>
  <c r="E258" i="4"/>
  <c r="C259" i="4"/>
  <c r="E259" i="4"/>
  <c r="C260" i="4"/>
  <c r="E260" i="4"/>
  <c r="C261" i="4"/>
  <c r="E261" i="4"/>
  <c r="C262" i="4"/>
  <c r="E262" i="4"/>
  <c r="C263" i="4"/>
  <c r="E263" i="4"/>
  <c r="C264" i="4"/>
  <c r="E264" i="4"/>
  <c r="C265" i="4"/>
  <c r="E265" i="4"/>
  <c r="C266" i="4"/>
  <c r="E266" i="4"/>
  <c r="C267" i="4"/>
  <c r="E267" i="4"/>
  <c r="C268" i="4"/>
  <c r="E268" i="4"/>
  <c r="C269" i="4"/>
  <c r="E269" i="4"/>
  <c r="C270" i="4"/>
  <c r="E270" i="4"/>
  <c r="C271" i="4"/>
  <c r="E271" i="4"/>
  <c r="C272" i="4"/>
  <c r="E272" i="4"/>
  <c r="C273" i="4"/>
  <c r="E273" i="4"/>
  <c r="C274" i="4"/>
  <c r="E274" i="4"/>
  <c r="C275" i="4"/>
  <c r="E275" i="4"/>
  <c r="C276" i="4"/>
  <c r="E276" i="4"/>
  <c r="C277" i="4"/>
  <c r="E277" i="4"/>
  <c r="C278" i="4"/>
  <c r="E278" i="4"/>
  <c r="C279" i="4"/>
  <c r="E279" i="4"/>
  <c r="C280" i="4"/>
  <c r="E280" i="4"/>
  <c r="C281" i="4"/>
  <c r="E281" i="4"/>
  <c r="C282" i="4"/>
  <c r="E282" i="4"/>
  <c r="C283" i="4"/>
  <c r="E283" i="4"/>
  <c r="C284" i="4"/>
  <c r="E284" i="4"/>
  <c r="C285" i="4"/>
  <c r="E285" i="4"/>
  <c r="C286" i="4"/>
  <c r="E286" i="4"/>
  <c r="C287" i="4"/>
  <c r="E287" i="4"/>
  <c r="C288" i="4"/>
  <c r="E288" i="4"/>
  <c r="C289" i="4"/>
  <c r="E289" i="4"/>
  <c r="C290" i="4"/>
  <c r="E290" i="4"/>
  <c r="C291" i="4"/>
  <c r="E291" i="4"/>
  <c r="C292" i="4"/>
  <c r="E292" i="4"/>
  <c r="C293" i="4"/>
  <c r="E293" i="4"/>
  <c r="C294" i="4"/>
  <c r="E294" i="4"/>
  <c r="C295" i="4"/>
  <c r="E295" i="4"/>
  <c r="C296" i="4"/>
  <c r="E296" i="4"/>
  <c r="C297" i="4"/>
  <c r="E297" i="4"/>
  <c r="C298" i="4"/>
  <c r="E298" i="4"/>
  <c r="C299" i="4"/>
  <c r="E299" i="4"/>
  <c r="C300" i="4"/>
  <c r="E300" i="4"/>
  <c r="C301" i="4"/>
  <c r="E301" i="4"/>
  <c r="C302" i="4"/>
  <c r="E302" i="4"/>
  <c r="C303" i="4"/>
  <c r="E303" i="4"/>
  <c r="C304" i="4"/>
  <c r="E304" i="4"/>
  <c r="C305" i="4"/>
  <c r="E305" i="4"/>
  <c r="C306" i="4"/>
  <c r="E306" i="4"/>
  <c r="C307" i="4"/>
  <c r="E307" i="4"/>
  <c r="C308" i="4"/>
  <c r="E308" i="4"/>
  <c r="C309" i="4"/>
  <c r="E309" i="4"/>
  <c r="C310" i="4"/>
  <c r="E310" i="4"/>
  <c r="C311" i="4"/>
  <c r="E311" i="4"/>
  <c r="C312" i="4"/>
  <c r="E312" i="4"/>
  <c r="C313" i="4"/>
  <c r="E313" i="4"/>
  <c r="C314" i="4"/>
  <c r="E314" i="4"/>
  <c r="C315" i="4"/>
  <c r="E315" i="4"/>
  <c r="C316" i="4"/>
  <c r="E316" i="4"/>
  <c r="C317" i="4"/>
  <c r="E317" i="4"/>
  <c r="C318" i="4"/>
  <c r="E318" i="4"/>
  <c r="C319" i="4"/>
  <c r="E319" i="4"/>
  <c r="C320" i="4"/>
  <c r="E320" i="4"/>
  <c r="C321" i="4"/>
  <c r="E321" i="4"/>
  <c r="C322" i="4"/>
  <c r="E322" i="4"/>
  <c r="C323" i="4"/>
  <c r="E323" i="4"/>
  <c r="C324" i="4"/>
  <c r="E324" i="4"/>
  <c r="C325" i="4"/>
  <c r="E325" i="4"/>
  <c r="C326" i="4"/>
  <c r="E326" i="4"/>
  <c r="C327" i="4"/>
  <c r="E327" i="4"/>
  <c r="C328" i="4"/>
  <c r="E328" i="4"/>
  <c r="C329" i="4"/>
  <c r="E329" i="4"/>
  <c r="C330" i="4"/>
  <c r="E330" i="4"/>
  <c r="C331" i="4"/>
  <c r="E331" i="4"/>
  <c r="C332" i="4"/>
  <c r="E332" i="4"/>
  <c r="C333" i="4"/>
  <c r="E333" i="4"/>
  <c r="C334" i="4"/>
  <c r="E334" i="4"/>
  <c r="C335" i="4"/>
  <c r="E335" i="4"/>
  <c r="C336" i="4"/>
  <c r="E336" i="4"/>
  <c r="C337" i="4"/>
  <c r="E337" i="4"/>
  <c r="C338" i="4"/>
  <c r="E338" i="4"/>
  <c r="C339" i="4"/>
  <c r="E339" i="4"/>
  <c r="C340" i="4"/>
  <c r="E340" i="4"/>
  <c r="C341" i="4"/>
  <c r="E341" i="4"/>
  <c r="C342" i="4"/>
  <c r="E342" i="4"/>
  <c r="C343" i="4"/>
  <c r="E343" i="4"/>
  <c r="C344" i="4"/>
  <c r="E344" i="4"/>
  <c r="C345" i="4"/>
  <c r="E345" i="4"/>
  <c r="C346" i="4"/>
  <c r="E346" i="4"/>
  <c r="C347" i="4"/>
  <c r="E347" i="4"/>
  <c r="C348" i="4"/>
  <c r="E348" i="4"/>
  <c r="C349" i="4"/>
  <c r="E349" i="4"/>
  <c r="C350" i="4"/>
  <c r="E350" i="4"/>
  <c r="C351" i="4"/>
  <c r="E351" i="4"/>
  <c r="C352" i="4"/>
  <c r="E352" i="4"/>
  <c r="C353" i="4"/>
  <c r="E353" i="4"/>
  <c r="C354" i="4"/>
  <c r="E354" i="4"/>
  <c r="C355" i="4"/>
  <c r="E355" i="4"/>
  <c r="C356" i="4"/>
  <c r="E356" i="4"/>
  <c r="C357" i="4"/>
  <c r="E357" i="4"/>
  <c r="C358" i="4"/>
  <c r="E358" i="4"/>
  <c r="C359" i="4"/>
  <c r="E359" i="4"/>
  <c r="C360" i="4"/>
  <c r="E360" i="4"/>
  <c r="C361" i="4"/>
  <c r="E361" i="4"/>
  <c r="C362" i="4"/>
  <c r="E362" i="4"/>
  <c r="C363" i="4"/>
  <c r="E363" i="4"/>
  <c r="C364" i="4"/>
  <c r="E364" i="4"/>
  <c r="C365" i="4"/>
  <c r="E365" i="4"/>
  <c r="C366" i="4"/>
  <c r="E366" i="4"/>
  <c r="C367" i="4"/>
  <c r="E367" i="4"/>
  <c r="C368" i="4"/>
  <c r="E368" i="4"/>
  <c r="C369" i="4"/>
  <c r="E369" i="4"/>
  <c r="C370" i="4"/>
  <c r="E370" i="4"/>
  <c r="C371" i="4"/>
  <c r="E371" i="4"/>
  <c r="C372" i="4"/>
  <c r="E372" i="4"/>
  <c r="C373" i="4"/>
  <c r="E373" i="4"/>
  <c r="C374" i="4"/>
  <c r="E374" i="4"/>
  <c r="C375" i="4"/>
  <c r="E375" i="4"/>
  <c r="C376" i="4"/>
  <c r="E376" i="4"/>
  <c r="C377" i="4"/>
  <c r="E377" i="4"/>
  <c r="C378" i="4"/>
  <c r="E378" i="4"/>
  <c r="C379" i="4"/>
  <c r="E379" i="4"/>
  <c r="C380" i="4"/>
  <c r="E380" i="4"/>
  <c r="C381" i="4"/>
  <c r="E381" i="4"/>
  <c r="C382" i="4"/>
  <c r="E382" i="4"/>
  <c r="C383" i="4"/>
  <c r="E383" i="4"/>
  <c r="C384" i="4"/>
  <c r="E384" i="4"/>
  <c r="C385" i="4"/>
  <c r="E385" i="4"/>
  <c r="C386" i="4"/>
  <c r="E386" i="4"/>
  <c r="C387" i="4"/>
  <c r="E387" i="4"/>
  <c r="C388" i="4"/>
  <c r="E388" i="4"/>
  <c r="C389" i="4"/>
  <c r="E389" i="4"/>
  <c r="C390" i="4"/>
  <c r="E390" i="4"/>
  <c r="C391" i="4"/>
  <c r="E391" i="4"/>
  <c r="C392" i="4"/>
  <c r="E392" i="4"/>
  <c r="C393" i="4"/>
  <c r="E393" i="4"/>
  <c r="C394" i="4"/>
  <c r="E394" i="4"/>
  <c r="C395" i="4"/>
  <c r="E395" i="4"/>
  <c r="C396" i="4"/>
  <c r="E396" i="4"/>
  <c r="C397" i="4"/>
  <c r="E397" i="4"/>
  <c r="C398" i="4"/>
  <c r="E398" i="4"/>
  <c r="C399" i="4"/>
  <c r="E399" i="4"/>
  <c r="C400" i="4"/>
  <c r="E400" i="4"/>
  <c r="C401" i="4"/>
  <c r="E401" i="4"/>
  <c r="C402" i="4"/>
  <c r="E402" i="4"/>
  <c r="C403" i="4"/>
  <c r="E403" i="4"/>
  <c r="C404" i="4"/>
  <c r="E404" i="4"/>
  <c r="C405" i="4"/>
  <c r="E405" i="4"/>
  <c r="C406" i="4"/>
  <c r="E406" i="4"/>
  <c r="C407" i="4"/>
  <c r="E407" i="4"/>
  <c r="C408" i="4"/>
  <c r="E408" i="4"/>
  <c r="C409" i="4"/>
  <c r="E409" i="4"/>
  <c r="C410" i="4"/>
  <c r="E410" i="4"/>
  <c r="C411" i="4"/>
  <c r="E411" i="4"/>
  <c r="C412" i="4"/>
  <c r="E412" i="4"/>
  <c r="C413" i="4"/>
  <c r="E413" i="4"/>
  <c r="C414" i="4"/>
  <c r="E414" i="4"/>
  <c r="C415" i="4"/>
  <c r="E415" i="4"/>
  <c r="C416" i="4"/>
  <c r="E416" i="4"/>
  <c r="C417" i="4"/>
  <c r="E417" i="4"/>
  <c r="C418" i="4"/>
  <c r="E418" i="4"/>
  <c r="C419" i="4"/>
  <c r="E419" i="4"/>
  <c r="C420" i="4"/>
  <c r="E420" i="4"/>
  <c r="C421" i="4"/>
  <c r="E421" i="4"/>
  <c r="C422" i="4"/>
  <c r="E422" i="4"/>
  <c r="C423" i="4"/>
  <c r="E423" i="4"/>
  <c r="C424" i="4"/>
  <c r="E424" i="4"/>
  <c r="C425" i="4"/>
  <c r="E425" i="4"/>
  <c r="C426" i="4"/>
  <c r="E426" i="4"/>
  <c r="C427" i="4"/>
  <c r="E427" i="4"/>
  <c r="C428" i="4"/>
  <c r="E428" i="4"/>
  <c r="C429" i="4"/>
  <c r="E429" i="4"/>
  <c r="C430" i="4"/>
  <c r="E430" i="4"/>
  <c r="C431" i="4"/>
  <c r="E431" i="4"/>
  <c r="C432" i="4"/>
  <c r="E432" i="4"/>
  <c r="C433" i="4"/>
  <c r="E433" i="4"/>
  <c r="C434" i="4"/>
  <c r="E434" i="4"/>
  <c r="C435" i="4"/>
  <c r="E435" i="4"/>
  <c r="C436" i="4"/>
  <c r="E436" i="4"/>
  <c r="C437" i="4"/>
  <c r="E437" i="4"/>
  <c r="C438" i="4"/>
  <c r="E438" i="4"/>
  <c r="C439" i="4"/>
  <c r="E439" i="4"/>
  <c r="C440" i="4"/>
  <c r="E440" i="4"/>
  <c r="C441" i="4"/>
  <c r="E441" i="4"/>
  <c r="C442" i="4"/>
  <c r="E442" i="4"/>
  <c r="C443" i="4"/>
  <c r="E443" i="4"/>
  <c r="C444" i="4"/>
  <c r="E444" i="4"/>
  <c r="C445" i="4"/>
  <c r="E445" i="4"/>
  <c r="C446" i="4"/>
  <c r="E446" i="4"/>
  <c r="C447" i="4"/>
  <c r="E447" i="4"/>
  <c r="C448" i="4"/>
  <c r="E448" i="4"/>
  <c r="C449" i="4"/>
  <c r="E449" i="4"/>
  <c r="C450" i="4"/>
  <c r="E450" i="4"/>
  <c r="C451" i="4"/>
  <c r="E451" i="4"/>
  <c r="C452" i="4"/>
  <c r="E452" i="4"/>
  <c r="C453" i="4"/>
  <c r="E453" i="4"/>
  <c r="C454" i="4"/>
  <c r="E454" i="4"/>
  <c r="C455" i="4"/>
  <c r="E455" i="4"/>
  <c r="C456" i="4"/>
  <c r="E456" i="4"/>
  <c r="C457" i="4"/>
  <c r="E457" i="4"/>
  <c r="C458" i="4"/>
  <c r="E458" i="4"/>
  <c r="C459" i="4"/>
  <c r="E459" i="4"/>
  <c r="C460" i="4"/>
  <c r="E460" i="4"/>
  <c r="C461" i="4"/>
  <c r="E461" i="4"/>
  <c r="C462" i="4"/>
  <c r="E462" i="4"/>
  <c r="C463" i="4"/>
  <c r="E463" i="4"/>
  <c r="C464" i="4"/>
  <c r="E464" i="4"/>
  <c r="C465" i="4"/>
  <c r="E465" i="4"/>
  <c r="C466" i="4"/>
  <c r="E466" i="4"/>
  <c r="C467" i="4"/>
  <c r="E467" i="4"/>
  <c r="C468" i="4"/>
  <c r="E468" i="4"/>
  <c r="C469" i="4"/>
  <c r="E469" i="4"/>
  <c r="C470" i="4"/>
  <c r="E470" i="4"/>
  <c r="C471" i="4"/>
  <c r="E471" i="4"/>
  <c r="C472" i="4"/>
  <c r="E472" i="4"/>
  <c r="C473" i="4"/>
  <c r="E473" i="4"/>
  <c r="C474" i="4"/>
  <c r="E474" i="4"/>
  <c r="C475" i="4"/>
  <c r="E475" i="4"/>
  <c r="C476" i="4"/>
  <c r="E476" i="4"/>
  <c r="C477" i="4"/>
  <c r="E477" i="4"/>
  <c r="C478" i="4"/>
  <c r="E478" i="4"/>
  <c r="C479" i="4"/>
  <c r="E479" i="4"/>
  <c r="C480" i="4"/>
  <c r="E480" i="4"/>
  <c r="C481" i="4"/>
  <c r="E481" i="4"/>
  <c r="C482" i="4"/>
  <c r="E482" i="4"/>
  <c r="C483" i="4"/>
  <c r="E483" i="4"/>
  <c r="C484" i="4"/>
  <c r="E484" i="4"/>
  <c r="C485" i="4"/>
  <c r="E485" i="4"/>
  <c r="C486" i="4"/>
  <c r="E486" i="4"/>
  <c r="C487" i="4"/>
  <c r="E487" i="4"/>
  <c r="C488" i="4"/>
  <c r="E488" i="4"/>
  <c r="C489" i="4"/>
  <c r="E489" i="4"/>
  <c r="C490" i="4"/>
  <c r="E490" i="4"/>
  <c r="C491" i="4"/>
  <c r="E491" i="4"/>
  <c r="C492" i="4"/>
  <c r="E492" i="4"/>
  <c r="C493" i="4"/>
  <c r="E493" i="4"/>
  <c r="C494" i="4"/>
  <c r="E494" i="4"/>
  <c r="C495" i="4"/>
  <c r="E495" i="4"/>
  <c r="C496" i="4"/>
  <c r="E496" i="4"/>
  <c r="C497" i="4"/>
  <c r="E497" i="4"/>
  <c r="C498" i="4"/>
  <c r="E498" i="4"/>
  <c r="C499" i="4"/>
  <c r="E499" i="4"/>
  <c r="C500" i="4"/>
  <c r="E500" i="4"/>
  <c r="C501" i="4"/>
  <c r="E501" i="4"/>
  <c r="C502" i="4"/>
  <c r="E502" i="4"/>
  <c r="C503" i="4"/>
  <c r="E503" i="4"/>
  <c r="C504" i="4"/>
  <c r="E504" i="4"/>
  <c r="C505" i="4"/>
  <c r="E505" i="4"/>
  <c r="C506" i="4"/>
  <c r="E506" i="4"/>
  <c r="C507" i="4"/>
  <c r="E507" i="4"/>
  <c r="C508" i="4"/>
  <c r="E508" i="4"/>
  <c r="C509" i="4"/>
  <c r="E509" i="4"/>
  <c r="C510" i="4"/>
  <c r="E510" i="4"/>
  <c r="C511" i="4"/>
  <c r="E511" i="4"/>
  <c r="C512" i="4"/>
  <c r="E512" i="4"/>
  <c r="C513" i="4"/>
  <c r="E513" i="4"/>
  <c r="C514" i="4"/>
  <c r="E514" i="4"/>
  <c r="C515" i="4"/>
  <c r="E515" i="4"/>
  <c r="C516" i="4"/>
  <c r="E516" i="4"/>
  <c r="C517" i="4"/>
  <c r="E517" i="4"/>
  <c r="C518" i="4"/>
  <c r="E518" i="4"/>
  <c r="C519" i="4"/>
  <c r="E519" i="4"/>
  <c r="C520" i="4"/>
  <c r="E520" i="4"/>
  <c r="C521" i="4"/>
  <c r="E521" i="4"/>
  <c r="C522" i="4"/>
  <c r="E522" i="4"/>
  <c r="C523" i="4"/>
  <c r="E523" i="4"/>
  <c r="C524" i="4"/>
  <c r="E524" i="4"/>
  <c r="C525" i="4"/>
  <c r="E525" i="4"/>
  <c r="C526" i="4"/>
  <c r="E526" i="4"/>
  <c r="C527" i="4"/>
  <c r="E527" i="4"/>
  <c r="C528" i="4"/>
  <c r="E528" i="4"/>
  <c r="C529" i="4"/>
  <c r="E529" i="4"/>
  <c r="C530" i="4"/>
  <c r="E530" i="4"/>
  <c r="C531" i="4"/>
  <c r="E531" i="4"/>
  <c r="C532" i="4"/>
  <c r="E532" i="4"/>
  <c r="C533" i="4"/>
  <c r="E533" i="4"/>
  <c r="C534" i="4"/>
  <c r="E534" i="4"/>
  <c r="C535" i="4"/>
  <c r="E535" i="4"/>
  <c r="C536" i="4"/>
  <c r="E536" i="4"/>
  <c r="C537" i="4"/>
  <c r="E537" i="4"/>
  <c r="C538" i="4"/>
  <c r="E538" i="4"/>
  <c r="C539" i="4"/>
  <c r="E539" i="4"/>
  <c r="C540" i="4"/>
  <c r="E540" i="4"/>
  <c r="C541" i="4"/>
  <c r="E541" i="4"/>
  <c r="C542" i="4"/>
  <c r="E542" i="4"/>
  <c r="C543" i="4"/>
  <c r="E543" i="4"/>
  <c r="C544" i="4"/>
  <c r="E544" i="4"/>
  <c r="C545" i="4"/>
  <c r="E545" i="4"/>
  <c r="C546" i="4"/>
  <c r="E546" i="4"/>
  <c r="C547" i="4"/>
  <c r="E547" i="4"/>
  <c r="C548" i="4"/>
  <c r="E548" i="4"/>
  <c r="C549" i="4"/>
  <c r="E549" i="4"/>
  <c r="C550" i="4"/>
  <c r="E550" i="4"/>
  <c r="C551" i="4"/>
  <c r="E551" i="4"/>
  <c r="C552" i="4"/>
  <c r="E552" i="4"/>
  <c r="C553" i="4"/>
  <c r="E553" i="4"/>
  <c r="C554" i="4"/>
  <c r="E554" i="4"/>
  <c r="C555" i="4"/>
  <c r="E555" i="4"/>
  <c r="C556" i="4"/>
  <c r="E556" i="4"/>
  <c r="C557" i="4"/>
  <c r="E557" i="4"/>
  <c r="C558" i="4"/>
  <c r="E558" i="4"/>
  <c r="C559" i="4"/>
  <c r="E559" i="4"/>
  <c r="C560" i="4"/>
  <c r="E560" i="4"/>
  <c r="C561" i="4"/>
  <c r="E561" i="4"/>
  <c r="C562" i="4"/>
  <c r="E562" i="4"/>
  <c r="C563" i="4"/>
  <c r="E563" i="4"/>
  <c r="C564" i="4"/>
  <c r="E564" i="4"/>
  <c r="C565" i="4"/>
  <c r="E565" i="4"/>
  <c r="C566" i="4"/>
  <c r="E566" i="4"/>
  <c r="C567" i="4"/>
  <c r="E567" i="4"/>
  <c r="C568" i="4"/>
  <c r="E568" i="4"/>
  <c r="C569" i="4"/>
  <c r="E569" i="4"/>
  <c r="C570" i="4"/>
  <c r="E570" i="4"/>
  <c r="C571" i="4"/>
  <c r="E571" i="4"/>
  <c r="C572" i="4"/>
  <c r="E572" i="4"/>
  <c r="C573" i="4"/>
  <c r="E573" i="4"/>
  <c r="C574" i="4"/>
  <c r="E574" i="4"/>
  <c r="C575" i="4"/>
  <c r="E575" i="4"/>
  <c r="C576" i="4"/>
  <c r="E576" i="4"/>
  <c r="C577" i="4"/>
  <c r="E577" i="4"/>
  <c r="C578" i="4"/>
  <c r="E578" i="4"/>
  <c r="C579" i="4"/>
  <c r="E579" i="4"/>
  <c r="C580" i="4"/>
  <c r="E580" i="4"/>
  <c r="C581" i="4"/>
  <c r="E581" i="4"/>
  <c r="C582" i="4"/>
  <c r="E582" i="4"/>
  <c r="C583" i="4"/>
  <c r="E583" i="4"/>
  <c r="C584" i="4"/>
  <c r="E584" i="4"/>
  <c r="C585" i="4"/>
  <c r="E585" i="4"/>
  <c r="C586" i="4"/>
  <c r="E586" i="4"/>
  <c r="C587" i="4"/>
  <c r="E587" i="4"/>
  <c r="C588" i="4"/>
  <c r="E588" i="4"/>
  <c r="C589" i="4"/>
  <c r="E589" i="4"/>
  <c r="C590" i="4"/>
  <c r="E590" i="4"/>
  <c r="C591" i="4"/>
  <c r="E591" i="4"/>
  <c r="C592" i="4"/>
  <c r="E592" i="4"/>
  <c r="C593" i="4"/>
  <c r="E593" i="4"/>
  <c r="C594" i="4"/>
  <c r="E594" i="4"/>
  <c r="C595" i="4"/>
  <c r="E595" i="4"/>
  <c r="C596" i="4"/>
  <c r="E596" i="4"/>
  <c r="C597" i="4"/>
  <c r="E597" i="4"/>
  <c r="C598" i="4"/>
  <c r="E598" i="4"/>
  <c r="C599" i="4"/>
  <c r="E599" i="4"/>
  <c r="C600" i="4"/>
  <c r="E600" i="4"/>
  <c r="C601" i="4"/>
  <c r="E601" i="4"/>
  <c r="C602" i="4"/>
  <c r="E602" i="4"/>
  <c r="C603" i="4"/>
  <c r="E603" i="4"/>
  <c r="C604" i="4"/>
  <c r="E604" i="4"/>
  <c r="C605" i="4"/>
  <c r="E605" i="4"/>
  <c r="C606" i="4"/>
  <c r="E606" i="4"/>
  <c r="C607" i="4"/>
  <c r="E607" i="4"/>
  <c r="C608" i="4"/>
  <c r="E608" i="4"/>
  <c r="C609" i="4"/>
  <c r="E609" i="4"/>
  <c r="C610" i="4"/>
  <c r="E610" i="4"/>
  <c r="C611" i="4"/>
  <c r="E611" i="4"/>
  <c r="C612" i="4"/>
  <c r="E612" i="4"/>
  <c r="C613" i="4"/>
  <c r="E613" i="4"/>
  <c r="C614" i="4"/>
  <c r="E614" i="4"/>
  <c r="C615" i="4"/>
  <c r="E615" i="4"/>
  <c r="C616" i="4"/>
  <c r="E616" i="4"/>
  <c r="C617" i="4"/>
  <c r="E617" i="4"/>
  <c r="C618" i="4"/>
  <c r="E618" i="4"/>
  <c r="C619" i="4"/>
  <c r="E619" i="4"/>
  <c r="C620" i="4"/>
  <c r="E620" i="4"/>
  <c r="C621" i="4"/>
  <c r="E621" i="4"/>
  <c r="C622" i="4"/>
  <c r="E622" i="4"/>
  <c r="C623" i="4"/>
  <c r="E623" i="4"/>
  <c r="C624" i="4"/>
  <c r="E624" i="4"/>
  <c r="C625" i="4"/>
  <c r="E625" i="4"/>
  <c r="C626" i="4"/>
  <c r="E626" i="4"/>
  <c r="C627" i="4"/>
  <c r="E627" i="4"/>
  <c r="C628" i="4"/>
  <c r="E628" i="4"/>
  <c r="C629" i="4"/>
  <c r="E629" i="4"/>
  <c r="C630" i="4"/>
  <c r="E630" i="4"/>
  <c r="C631" i="4"/>
  <c r="E631" i="4"/>
  <c r="C632" i="4"/>
  <c r="E632" i="4"/>
  <c r="C633" i="4"/>
  <c r="E633" i="4"/>
  <c r="C634" i="4"/>
  <c r="E634" i="4"/>
  <c r="C635" i="4"/>
  <c r="E635" i="4"/>
  <c r="C636" i="4"/>
  <c r="E636" i="4"/>
  <c r="C637" i="4"/>
  <c r="E637" i="4"/>
  <c r="C638" i="4"/>
  <c r="E638" i="4"/>
  <c r="C639" i="4"/>
  <c r="E639" i="4"/>
  <c r="C640" i="4"/>
  <c r="E640" i="4"/>
  <c r="C641" i="4"/>
  <c r="E641" i="4"/>
  <c r="C642" i="4"/>
  <c r="E642" i="4"/>
  <c r="C643" i="4"/>
  <c r="E643" i="4"/>
  <c r="C644" i="4"/>
  <c r="E644" i="4"/>
  <c r="C645" i="4"/>
  <c r="E645" i="4"/>
  <c r="C646" i="4"/>
  <c r="E646" i="4"/>
  <c r="C647" i="4"/>
  <c r="E647" i="4"/>
  <c r="C648" i="4"/>
  <c r="E648" i="4"/>
  <c r="C649" i="4"/>
  <c r="E649" i="4"/>
  <c r="C650" i="4"/>
  <c r="E650" i="4"/>
  <c r="C651" i="4"/>
  <c r="E651" i="4"/>
  <c r="C652" i="4"/>
  <c r="E652" i="4"/>
  <c r="C653" i="4"/>
  <c r="E653" i="4"/>
  <c r="C654" i="4"/>
  <c r="E654" i="4"/>
  <c r="C655" i="4"/>
  <c r="E655" i="4"/>
  <c r="C656" i="4"/>
  <c r="E656" i="4"/>
  <c r="C657" i="4"/>
  <c r="E657" i="4"/>
  <c r="C658" i="4"/>
  <c r="E658" i="4"/>
  <c r="C659" i="4"/>
  <c r="E659" i="4"/>
  <c r="C660" i="4"/>
  <c r="E660" i="4"/>
  <c r="C661" i="4"/>
  <c r="E661" i="4"/>
  <c r="C662" i="4"/>
  <c r="E662" i="4"/>
  <c r="C663" i="4"/>
  <c r="E663" i="4"/>
  <c r="C664" i="4"/>
  <c r="E664" i="4"/>
  <c r="C665" i="4"/>
  <c r="E665" i="4"/>
  <c r="C666" i="4"/>
  <c r="E666" i="4"/>
  <c r="C667" i="4"/>
  <c r="E667" i="4"/>
  <c r="C668" i="4"/>
  <c r="E668" i="4"/>
  <c r="C669" i="4"/>
  <c r="E669" i="4"/>
  <c r="C670" i="4"/>
  <c r="E670" i="4"/>
  <c r="C671" i="4"/>
  <c r="E671" i="4"/>
  <c r="C672" i="4"/>
  <c r="E672" i="4"/>
  <c r="C673" i="4"/>
  <c r="E673" i="4"/>
  <c r="C674" i="4"/>
  <c r="E674" i="4"/>
  <c r="C675" i="4"/>
  <c r="E675" i="4"/>
  <c r="C676" i="4"/>
  <c r="E676" i="4"/>
  <c r="C677" i="4"/>
  <c r="E677" i="4"/>
  <c r="C678" i="4"/>
  <c r="E678" i="4"/>
  <c r="C679" i="4"/>
  <c r="E679" i="4"/>
  <c r="C680" i="4"/>
  <c r="E680" i="4"/>
  <c r="C681" i="4"/>
  <c r="E681" i="4"/>
  <c r="C682" i="4"/>
  <c r="E682" i="4"/>
  <c r="C683" i="4"/>
  <c r="E683" i="4"/>
  <c r="C684" i="4"/>
  <c r="E684" i="4"/>
  <c r="C685" i="4"/>
  <c r="E685" i="4"/>
  <c r="C686" i="4"/>
  <c r="E686" i="4"/>
  <c r="C687" i="4"/>
  <c r="E687" i="4"/>
  <c r="C688" i="4"/>
  <c r="E688" i="4"/>
  <c r="C689" i="4"/>
  <c r="E689" i="4"/>
  <c r="C690" i="4"/>
  <c r="E690" i="4"/>
  <c r="C691" i="4"/>
  <c r="E691" i="4"/>
  <c r="C692" i="4"/>
  <c r="E692" i="4"/>
  <c r="C693" i="4"/>
  <c r="E693" i="4"/>
  <c r="C694" i="4"/>
  <c r="E694" i="4"/>
  <c r="C695" i="4"/>
  <c r="E695" i="4"/>
  <c r="C696" i="4"/>
  <c r="E696" i="4"/>
  <c r="C697" i="4"/>
  <c r="E697" i="4"/>
  <c r="C698" i="4"/>
  <c r="E698" i="4"/>
  <c r="C699" i="4"/>
  <c r="E699" i="4"/>
  <c r="C700" i="4"/>
  <c r="E700" i="4"/>
  <c r="C701" i="4"/>
  <c r="E701" i="4"/>
  <c r="C702" i="4"/>
  <c r="E702" i="4"/>
  <c r="C703" i="4"/>
  <c r="E703" i="4"/>
  <c r="C704" i="4"/>
  <c r="E704" i="4"/>
  <c r="C705" i="4"/>
  <c r="E705" i="4"/>
  <c r="C706" i="4"/>
  <c r="E706" i="4"/>
  <c r="C707" i="4"/>
  <c r="E707" i="4"/>
  <c r="C708" i="4"/>
  <c r="E708" i="4"/>
  <c r="C709" i="4"/>
  <c r="E709" i="4"/>
  <c r="C710" i="4"/>
  <c r="E710" i="4"/>
  <c r="C711" i="4"/>
  <c r="E711" i="4"/>
  <c r="C712" i="4"/>
  <c r="E712" i="4"/>
  <c r="C713" i="4"/>
  <c r="E713" i="4"/>
  <c r="C714" i="4"/>
  <c r="E714" i="4"/>
  <c r="C715" i="4"/>
  <c r="E715" i="4"/>
  <c r="C716" i="4"/>
  <c r="E716" i="4"/>
  <c r="C717" i="4"/>
  <c r="E717" i="4"/>
  <c r="C718" i="4"/>
  <c r="E718" i="4"/>
  <c r="C719" i="4"/>
  <c r="E719" i="4"/>
  <c r="C720" i="4"/>
  <c r="E720" i="4"/>
  <c r="C721" i="4"/>
  <c r="E721" i="4"/>
  <c r="C722" i="4"/>
  <c r="E722" i="4"/>
  <c r="C723" i="4"/>
  <c r="E723" i="4"/>
  <c r="C724" i="4"/>
  <c r="E724" i="4"/>
  <c r="C725" i="4"/>
  <c r="E725" i="4"/>
  <c r="C726" i="4"/>
  <c r="E726" i="4"/>
  <c r="C727" i="4"/>
  <c r="E727" i="4"/>
  <c r="C728" i="4"/>
  <c r="E728" i="4"/>
  <c r="C729" i="4"/>
  <c r="E729" i="4"/>
  <c r="C730" i="4"/>
  <c r="E730" i="4"/>
  <c r="C731" i="4"/>
  <c r="E731" i="4"/>
  <c r="C732" i="4"/>
  <c r="E732" i="4"/>
  <c r="C733" i="4"/>
  <c r="E733" i="4"/>
  <c r="C734" i="4"/>
  <c r="E734" i="4"/>
  <c r="C735" i="4"/>
  <c r="E735" i="4"/>
  <c r="C736" i="4"/>
  <c r="E736" i="4"/>
  <c r="C737" i="4"/>
  <c r="E737" i="4"/>
  <c r="C738" i="4"/>
  <c r="E738" i="4"/>
  <c r="C739" i="4"/>
  <c r="E739" i="4"/>
  <c r="C740" i="4"/>
  <c r="E740" i="4"/>
  <c r="C741" i="4"/>
  <c r="E741" i="4"/>
  <c r="C742" i="4"/>
  <c r="E742" i="4"/>
  <c r="C743" i="4"/>
  <c r="E743" i="4"/>
  <c r="C744" i="4"/>
  <c r="E744" i="4"/>
  <c r="C745" i="4"/>
  <c r="E745" i="4"/>
  <c r="C746" i="4"/>
  <c r="E746" i="4"/>
  <c r="C747" i="4"/>
  <c r="C748" i="4"/>
  <c r="C749" i="4"/>
  <c r="C750" i="4"/>
  <c r="C751" i="4"/>
  <c r="C752" i="4"/>
  <c r="E752" i="4"/>
  <c r="C753" i="4"/>
  <c r="E753" i="4"/>
  <c r="C754" i="4"/>
  <c r="E754" i="4"/>
  <c r="C755" i="4"/>
  <c r="E755" i="4"/>
  <c r="C756" i="4"/>
  <c r="E756" i="4"/>
  <c r="C757" i="4"/>
  <c r="E757" i="4"/>
  <c r="C758" i="4"/>
  <c r="E758" i="4"/>
  <c r="C759" i="4"/>
  <c r="E759" i="4"/>
  <c r="C760" i="4"/>
  <c r="E760" i="4"/>
  <c r="C761" i="4"/>
  <c r="E761" i="4"/>
  <c r="C762" i="4"/>
  <c r="E762" i="4"/>
  <c r="C763" i="4"/>
  <c r="E763" i="4"/>
  <c r="C764" i="4"/>
  <c r="E764" i="4"/>
  <c r="C765" i="4"/>
  <c r="E765" i="4"/>
  <c r="C766" i="4"/>
  <c r="E766" i="4"/>
  <c r="C767" i="4"/>
  <c r="E767" i="4"/>
  <c r="C768" i="4"/>
  <c r="E768" i="4"/>
  <c r="C769" i="4"/>
  <c r="E769" i="4"/>
  <c r="C770" i="4"/>
  <c r="E770" i="4"/>
  <c r="C771" i="4"/>
  <c r="E771" i="4"/>
  <c r="C772" i="4"/>
  <c r="E772" i="4"/>
  <c r="C773" i="4"/>
  <c r="E773" i="4"/>
  <c r="C774" i="4"/>
  <c r="E774" i="4"/>
  <c r="C775" i="4"/>
  <c r="E775" i="4"/>
  <c r="C776" i="4"/>
  <c r="E776" i="4"/>
  <c r="C777" i="4"/>
  <c r="E777" i="4"/>
  <c r="C778" i="4"/>
  <c r="E778" i="4"/>
  <c r="C779" i="4"/>
  <c r="E779" i="4"/>
  <c r="C780" i="4"/>
  <c r="E780" i="4"/>
  <c r="C781" i="4"/>
  <c r="E781" i="4"/>
  <c r="C782" i="4"/>
  <c r="E782" i="4"/>
  <c r="C783" i="4"/>
  <c r="E783" i="4"/>
  <c r="C784" i="4"/>
  <c r="E784" i="4"/>
  <c r="C785" i="4"/>
  <c r="E785" i="4"/>
  <c r="C786" i="4"/>
  <c r="E786" i="4"/>
  <c r="C787" i="4"/>
  <c r="E787" i="4"/>
  <c r="C788" i="4"/>
  <c r="E788" i="4"/>
  <c r="C789" i="4"/>
  <c r="E789" i="4"/>
  <c r="C790" i="4"/>
  <c r="E790" i="4"/>
  <c r="C791" i="4"/>
  <c r="E791" i="4"/>
  <c r="C792" i="4"/>
  <c r="E792" i="4"/>
  <c r="C793" i="4"/>
  <c r="C794" i="4"/>
  <c r="C795" i="4"/>
  <c r="E795" i="4"/>
  <c r="C796" i="4"/>
  <c r="E796" i="4"/>
  <c r="C797" i="4"/>
  <c r="E797" i="4"/>
  <c r="C798" i="4"/>
  <c r="E798" i="4"/>
  <c r="C799" i="4"/>
  <c r="E799" i="4"/>
  <c r="C800" i="4"/>
  <c r="E800" i="4"/>
  <c r="C801" i="4"/>
  <c r="E801" i="4"/>
  <c r="C802" i="4"/>
  <c r="E802" i="4"/>
  <c r="C803" i="4"/>
  <c r="E803" i="4"/>
  <c r="C804" i="4"/>
  <c r="E804" i="4"/>
  <c r="C805" i="4"/>
  <c r="E805" i="4"/>
  <c r="C806" i="4"/>
  <c r="E806" i="4"/>
  <c r="C807" i="4"/>
  <c r="E807" i="4"/>
  <c r="C808" i="4"/>
  <c r="E808" i="4"/>
  <c r="C809" i="4"/>
  <c r="E809" i="4"/>
  <c r="C810" i="4"/>
  <c r="E810" i="4"/>
  <c r="C811" i="4"/>
  <c r="E811" i="4"/>
  <c r="C812" i="4"/>
  <c r="E812" i="4"/>
  <c r="C813" i="4"/>
  <c r="E813" i="4"/>
  <c r="C814" i="4"/>
  <c r="E814" i="4"/>
  <c r="C815" i="4"/>
  <c r="E815" i="4"/>
  <c r="C816" i="4"/>
  <c r="E816" i="4"/>
  <c r="C817" i="4"/>
  <c r="E817" i="4"/>
  <c r="C818" i="4"/>
  <c r="E818" i="4"/>
  <c r="C819" i="4"/>
  <c r="E819" i="4"/>
  <c r="C820" i="4"/>
  <c r="E820" i="4"/>
  <c r="C821" i="4"/>
  <c r="E821" i="4"/>
  <c r="C822" i="4"/>
  <c r="E822" i="4"/>
  <c r="C823" i="4"/>
  <c r="E823" i="4"/>
  <c r="C824" i="4"/>
  <c r="E824" i="4"/>
  <c r="C825" i="4"/>
  <c r="E825" i="4"/>
  <c r="C826" i="4"/>
  <c r="E826" i="4"/>
  <c r="C827" i="4"/>
  <c r="E827" i="4"/>
  <c r="C828" i="4"/>
  <c r="E828" i="4"/>
  <c r="C829" i="4"/>
  <c r="E829" i="4"/>
  <c r="C830" i="4"/>
  <c r="E830" i="4"/>
  <c r="C831" i="4"/>
  <c r="E831" i="4"/>
  <c r="C832" i="4"/>
  <c r="E832" i="4"/>
  <c r="C833" i="4"/>
  <c r="E833" i="4"/>
  <c r="C834" i="4"/>
  <c r="E834" i="4"/>
  <c r="C835" i="4"/>
  <c r="E835" i="4"/>
  <c r="C836" i="4"/>
  <c r="E836" i="4"/>
  <c r="C837" i="4"/>
  <c r="E837" i="4"/>
  <c r="C838" i="4"/>
  <c r="E838" i="4"/>
  <c r="C839" i="4"/>
  <c r="E839" i="4"/>
  <c r="C840" i="4"/>
  <c r="E840" i="4"/>
  <c r="C841" i="4"/>
  <c r="E841" i="4"/>
  <c r="C842" i="4"/>
  <c r="E842" i="4"/>
  <c r="C843" i="4"/>
  <c r="E843" i="4"/>
  <c r="C844" i="4"/>
  <c r="E844" i="4"/>
  <c r="C845" i="4"/>
  <c r="E845" i="4"/>
  <c r="C846" i="4"/>
  <c r="E846" i="4"/>
  <c r="C847" i="4"/>
  <c r="E847" i="4"/>
  <c r="C848" i="4"/>
  <c r="E848" i="4"/>
  <c r="C849" i="4"/>
  <c r="E849" i="4"/>
  <c r="C850" i="4"/>
  <c r="E850" i="4"/>
  <c r="C851" i="4"/>
  <c r="E851" i="4"/>
  <c r="C852" i="4"/>
  <c r="E852" i="4"/>
  <c r="C853" i="4"/>
  <c r="E853" i="4"/>
  <c r="C854" i="4"/>
  <c r="E854" i="4"/>
  <c r="C855" i="4"/>
  <c r="E855" i="4"/>
  <c r="C856" i="4"/>
  <c r="E856" i="4"/>
  <c r="C857" i="4"/>
  <c r="E857" i="4"/>
  <c r="C858" i="4"/>
  <c r="E858" i="4"/>
  <c r="C859" i="4"/>
  <c r="E859" i="4"/>
  <c r="C860" i="4"/>
  <c r="E860" i="4"/>
  <c r="C861" i="4"/>
  <c r="E861" i="4"/>
  <c r="C862" i="4"/>
  <c r="E862" i="4"/>
  <c r="C863" i="4"/>
  <c r="E863" i="4"/>
  <c r="C864" i="4"/>
  <c r="E864" i="4"/>
  <c r="C865" i="4"/>
  <c r="E865" i="4"/>
  <c r="C866" i="4"/>
  <c r="E866" i="4"/>
  <c r="C867" i="4"/>
  <c r="E867" i="4"/>
  <c r="C868" i="4"/>
  <c r="E868" i="4"/>
  <c r="C869" i="4"/>
  <c r="E869" i="4"/>
  <c r="C870" i="4"/>
  <c r="C871" i="4"/>
  <c r="C872" i="4"/>
  <c r="C873" i="4"/>
  <c r="C874" i="4"/>
  <c r="E874" i="4"/>
  <c r="C875" i="4"/>
  <c r="E875" i="4"/>
  <c r="C876" i="4"/>
  <c r="E876" i="4"/>
  <c r="C877" i="4"/>
  <c r="E877" i="4"/>
  <c r="C878" i="4"/>
  <c r="E878" i="4"/>
  <c r="C879" i="4"/>
  <c r="E879" i="4"/>
  <c r="C880" i="4"/>
  <c r="E880" i="4"/>
  <c r="C881" i="4"/>
  <c r="E881" i="4"/>
  <c r="C882" i="4"/>
  <c r="E882" i="4"/>
  <c r="C883" i="4"/>
  <c r="E883" i="4"/>
  <c r="C884" i="4"/>
  <c r="E884" i="4"/>
  <c r="C885" i="4"/>
  <c r="E885" i="4"/>
  <c r="C886" i="4"/>
  <c r="E886" i="4"/>
  <c r="C887" i="4"/>
  <c r="C888" i="4"/>
  <c r="C889" i="4"/>
  <c r="E889" i="4"/>
  <c r="C890" i="4"/>
  <c r="E890" i="4"/>
  <c r="C891" i="4"/>
  <c r="E891" i="4"/>
  <c r="C892" i="4"/>
  <c r="E892" i="4"/>
  <c r="C893" i="4"/>
  <c r="E893" i="4"/>
  <c r="C894" i="4"/>
  <c r="E894" i="4"/>
  <c r="C895" i="4"/>
  <c r="E895" i="4"/>
  <c r="C896" i="4"/>
  <c r="E896" i="4"/>
  <c r="C897" i="4"/>
  <c r="E897" i="4"/>
  <c r="C898" i="4"/>
  <c r="E898" i="4"/>
  <c r="C899" i="4"/>
  <c r="E899" i="4"/>
  <c r="C900" i="4"/>
  <c r="E900" i="4"/>
  <c r="C901" i="4"/>
  <c r="E901" i="4"/>
  <c r="C902" i="4"/>
  <c r="E902" i="4"/>
  <c r="C903" i="4"/>
  <c r="E903" i="4"/>
  <c r="C904" i="4"/>
  <c r="E904" i="4"/>
  <c r="C905" i="4"/>
  <c r="E905" i="4"/>
  <c r="C906" i="4"/>
  <c r="E906" i="4"/>
  <c r="C907" i="4"/>
  <c r="E907" i="4"/>
  <c r="C908" i="4"/>
  <c r="E908" i="4"/>
  <c r="C909" i="4"/>
  <c r="E909" i="4"/>
  <c r="C910" i="4"/>
  <c r="E910" i="4"/>
  <c r="C911" i="4"/>
  <c r="E911" i="4"/>
  <c r="C912" i="4"/>
  <c r="E912" i="4"/>
  <c r="C913" i="4"/>
  <c r="E913" i="4"/>
  <c r="C914" i="4"/>
  <c r="E914" i="4"/>
  <c r="C915" i="4"/>
  <c r="E915" i="4"/>
  <c r="C916" i="4"/>
  <c r="E916" i="4"/>
  <c r="C917" i="4"/>
  <c r="E917" i="4"/>
  <c r="C918" i="4"/>
  <c r="E918" i="4"/>
  <c r="C919" i="4"/>
  <c r="E919" i="4"/>
  <c r="C920" i="4"/>
  <c r="E920" i="4"/>
  <c r="C921" i="4"/>
  <c r="E921" i="4"/>
  <c r="C922" i="4"/>
  <c r="E922" i="4"/>
  <c r="C923" i="4"/>
  <c r="E923" i="4"/>
  <c r="C924" i="4"/>
  <c r="E924" i="4"/>
  <c r="C925" i="4"/>
  <c r="E925" i="4"/>
  <c r="C926" i="4"/>
  <c r="E926" i="4"/>
  <c r="C927" i="4"/>
  <c r="E927" i="4"/>
  <c r="C928" i="4"/>
  <c r="E928" i="4"/>
  <c r="C929" i="4"/>
  <c r="E929" i="4"/>
  <c r="C930" i="4"/>
  <c r="E930" i="4"/>
  <c r="C931" i="4"/>
  <c r="E931" i="4"/>
  <c r="C932" i="4"/>
  <c r="E932" i="4"/>
  <c r="C933" i="4"/>
  <c r="E933" i="4"/>
  <c r="C934" i="4"/>
  <c r="E934" i="4"/>
  <c r="C935" i="4"/>
  <c r="E935" i="4"/>
  <c r="C936" i="4"/>
  <c r="E936" i="4"/>
  <c r="C937" i="4"/>
  <c r="E937" i="4"/>
  <c r="C938" i="4"/>
  <c r="E938" i="4"/>
  <c r="C939" i="4"/>
  <c r="E939" i="4"/>
  <c r="C940" i="4"/>
  <c r="E940" i="4"/>
  <c r="C941" i="4"/>
  <c r="E941" i="4"/>
  <c r="C942" i="4"/>
  <c r="E942" i="4"/>
  <c r="C943" i="4"/>
  <c r="E943" i="4"/>
  <c r="C944" i="4"/>
  <c r="E944" i="4"/>
  <c r="C945" i="4"/>
  <c r="E945" i="4"/>
  <c r="C946" i="4"/>
  <c r="E946" i="4"/>
  <c r="C947" i="4"/>
  <c r="E947" i="4"/>
  <c r="C948" i="4"/>
  <c r="E948" i="4"/>
  <c r="C949" i="4"/>
  <c r="E949" i="4"/>
  <c r="C950" i="4"/>
  <c r="E950" i="4"/>
  <c r="C951" i="4"/>
  <c r="E951" i="4"/>
  <c r="C952" i="4"/>
  <c r="E952" i="4"/>
  <c r="C953" i="4"/>
  <c r="E953" i="4"/>
  <c r="C954" i="4"/>
  <c r="E954" i="4"/>
  <c r="C955" i="4"/>
  <c r="E955" i="4"/>
  <c r="C956" i="4"/>
  <c r="E956" i="4"/>
  <c r="C957" i="4"/>
  <c r="E957" i="4"/>
  <c r="C958" i="4"/>
  <c r="E958" i="4"/>
  <c r="C959" i="4"/>
  <c r="E959" i="4"/>
  <c r="C960" i="4"/>
  <c r="E960" i="4"/>
  <c r="C961" i="4"/>
  <c r="E961" i="4"/>
  <c r="C962" i="4"/>
  <c r="E962" i="4"/>
  <c r="C963" i="4"/>
  <c r="E963" i="4"/>
  <c r="C964" i="4"/>
  <c r="E964" i="4"/>
  <c r="C965" i="4"/>
  <c r="E965" i="4"/>
  <c r="C966" i="4"/>
  <c r="E966" i="4"/>
  <c r="C967" i="4"/>
  <c r="E967" i="4"/>
  <c r="C968" i="4"/>
  <c r="E968" i="4"/>
  <c r="C969" i="4"/>
  <c r="E969" i="4"/>
  <c r="C970" i="4"/>
  <c r="E970" i="4"/>
  <c r="C971" i="4"/>
  <c r="E971" i="4"/>
  <c r="C972" i="4"/>
  <c r="E972" i="4"/>
  <c r="C973" i="4"/>
  <c r="E973" i="4"/>
  <c r="C974" i="4"/>
  <c r="E974" i="4"/>
  <c r="C975" i="4"/>
  <c r="E975" i="4"/>
  <c r="C976" i="4"/>
  <c r="E976" i="4"/>
  <c r="C977" i="4"/>
  <c r="E977" i="4"/>
  <c r="C978" i="4"/>
  <c r="E978" i="4"/>
  <c r="C979" i="4"/>
  <c r="E979" i="4"/>
  <c r="C980" i="4"/>
  <c r="E980" i="4"/>
  <c r="C981" i="4"/>
  <c r="E981" i="4"/>
  <c r="C982" i="4"/>
  <c r="E982" i="4"/>
  <c r="C983" i="4"/>
  <c r="E983" i="4"/>
  <c r="C984" i="4"/>
  <c r="E984" i="4"/>
  <c r="C985" i="4"/>
  <c r="E985" i="4"/>
  <c r="C986" i="4"/>
  <c r="E986" i="4"/>
  <c r="C987" i="4"/>
  <c r="E987" i="4"/>
  <c r="C988" i="4"/>
  <c r="E988" i="4"/>
  <c r="C989" i="4"/>
  <c r="E989" i="4"/>
  <c r="C990" i="4"/>
  <c r="E990" i="4"/>
  <c r="C991" i="4"/>
  <c r="E991" i="4"/>
  <c r="C992" i="4"/>
  <c r="E992" i="4"/>
  <c r="C993" i="4"/>
  <c r="E993" i="4"/>
  <c r="C994" i="4"/>
  <c r="E994" i="4"/>
  <c r="C995" i="4"/>
  <c r="E995" i="4"/>
  <c r="C996" i="4"/>
  <c r="E996" i="4"/>
  <c r="C997" i="4"/>
  <c r="E997" i="4"/>
  <c r="C998" i="4"/>
  <c r="E998" i="4"/>
  <c r="C999" i="4"/>
  <c r="C1000" i="4"/>
  <c r="C1001" i="4"/>
  <c r="C1002" i="4"/>
  <c r="C1003" i="4"/>
  <c r="E1003" i="4"/>
  <c r="C1004" i="4"/>
  <c r="E1004" i="4"/>
  <c r="C1005" i="4"/>
  <c r="E1005" i="4"/>
  <c r="C1006" i="4"/>
  <c r="C1007" i="4"/>
  <c r="C1008" i="4"/>
  <c r="E1008" i="4"/>
  <c r="C1009" i="4"/>
  <c r="E1009" i="4"/>
  <c r="C1010" i="4"/>
  <c r="E1010" i="4"/>
  <c r="C1011" i="4"/>
  <c r="C1012" i="4"/>
  <c r="C1013" i="4"/>
  <c r="C1014" i="4"/>
  <c r="E1014" i="4"/>
  <c r="C1015" i="4"/>
  <c r="E1015" i="4"/>
  <c r="C1016" i="4"/>
  <c r="E1016" i="4"/>
  <c r="C1017" i="4"/>
  <c r="E1017" i="4"/>
  <c r="C1018" i="4"/>
  <c r="E1018" i="4"/>
  <c r="C1019" i="4"/>
  <c r="C1020" i="4"/>
  <c r="C1021" i="4"/>
  <c r="E1021" i="4"/>
  <c r="C1022" i="4"/>
  <c r="E1022" i="4"/>
  <c r="C1023" i="4"/>
  <c r="C1024" i="4"/>
  <c r="C1025" i="4"/>
  <c r="C1026" i="4"/>
  <c r="C1027" i="4"/>
  <c r="E1027" i="4"/>
  <c r="F13" i="27"/>
  <c r="F32" i="27"/>
  <c r="J50" i="27"/>
  <c r="F39" i="27"/>
  <c r="F40" i="27"/>
  <c r="H29" i="27"/>
  <c r="H31" i="27"/>
  <c r="H40" i="27"/>
  <c r="H44" i="27"/>
  <c r="E26" i="27"/>
  <c r="E53" i="27"/>
  <c r="H32" i="27"/>
  <c r="I45" i="28" l="1"/>
  <c r="E14" i="29"/>
  <c r="E45" i="28"/>
  <c r="H45" i="28"/>
  <c r="E12" i="27"/>
  <c r="E15" i="27" s="1"/>
  <c r="I32" i="27"/>
  <c r="I29" i="27"/>
  <c r="I19" i="27"/>
  <c r="F31" i="27"/>
  <c r="F26" i="27"/>
  <c r="I26" i="27"/>
  <c r="I28" i="27"/>
  <c r="F53" i="27"/>
  <c r="I18" i="27"/>
  <c r="I27" i="27"/>
  <c r="F29" i="27"/>
  <c r="F50" i="27"/>
  <c r="F42" i="27"/>
  <c r="F51" i="27"/>
  <c r="F28" i="27"/>
  <c r="I21" i="27"/>
  <c r="F27" i="27"/>
  <c r="F52" i="27"/>
  <c r="I30" i="27"/>
  <c r="I33" i="27"/>
  <c r="I31" i="27"/>
  <c r="J45" i="28"/>
  <c r="G45" i="28"/>
  <c r="F45" i="28"/>
  <c r="I39" i="27"/>
  <c r="I44" i="27"/>
  <c r="M15" i="12"/>
  <c r="G50" i="27"/>
  <c r="G40" i="27"/>
  <c r="J21" i="27"/>
  <c r="G52" i="27"/>
  <c r="G13" i="27"/>
  <c r="I53" i="27"/>
  <c r="I50" i="27"/>
  <c r="J40" i="27"/>
  <c r="J29" i="27"/>
  <c r="J39" i="27"/>
  <c r="J32" i="27"/>
  <c r="J33" i="27"/>
  <c r="J31" i="27"/>
  <c r="J30" i="27"/>
  <c r="J28" i="27"/>
  <c r="J27" i="27"/>
  <c r="J26" i="27"/>
  <c r="J20" i="27"/>
  <c r="J19" i="27"/>
  <c r="G58" i="27"/>
  <c r="G60" i="27" s="1"/>
  <c r="G53" i="27"/>
  <c r="G51" i="27"/>
  <c r="G42" i="27"/>
  <c r="G39" i="27"/>
  <c r="G32" i="27"/>
  <c r="G31" i="27"/>
  <c r="G29" i="27"/>
  <c r="G28" i="27"/>
  <c r="G27" i="27"/>
  <c r="G26" i="27"/>
  <c r="I58" i="27"/>
  <c r="I60" i="27" s="1"/>
  <c r="E6" i="29"/>
  <c r="E8" i="29" s="1"/>
  <c r="E16" i="29" s="1"/>
  <c r="I51" i="27"/>
  <c r="I40" i="27"/>
  <c r="I52" i="27"/>
  <c r="I42" i="27"/>
  <c r="J44" i="27"/>
  <c r="E34" i="27"/>
  <c r="I43" i="27"/>
  <c r="F58" i="27"/>
  <c r="F60" i="27" s="1"/>
  <c r="H19" i="27"/>
  <c r="E44" i="27"/>
  <c r="E46" i="27" s="1"/>
  <c r="E54" i="27"/>
  <c r="J52" i="27"/>
  <c r="J51" i="27"/>
  <c r="I20" i="27"/>
  <c r="J58" i="27"/>
  <c r="J60" i="27" s="1"/>
  <c r="J53" i="27"/>
  <c r="J42" i="27"/>
  <c r="I45" i="27"/>
  <c r="H39" i="27"/>
  <c r="H46" i="27" s="1"/>
  <c r="H26" i="27"/>
  <c r="H34" i="27" s="1"/>
  <c r="E7" i="29"/>
  <c r="E58" i="27" l="1"/>
  <c r="E60" i="27" s="1"/>
  <c r="E63" i="27" s="1"/>
  <c r="F34" i="27"/>
  <c r="F54" i="27"/>
  <c r="I22" i="27"/>
  <c r="I34" i="27"/>
  <c r="L24" i="28"/>
  <c r="N9" i="14"/>
  <c r="N10" i="14"/>
  <c r="G46" i="27"/>
  <c r="J22" i="27"/>
  <c r="G54" i="27"/>
  <c r="J46" i="27"/>
  <c r="G34" i="27"/>
  <c r="J34" i="27"/>
  <c r="F12" i="27"/>
  <c r="F15" i="27" s="1"/>
  <c r="G12" i="27"/>
  <c r="G15" i="27" s="1"/>
  <c r="I54" i="27"/>
  <c r="J54" i="27"/>
  <c r="I41" i="27"/>
  <c r="I46" i="27" s="1"/>
  <c r="F44" i="27"/>
  <c r="F46" i="27" s="1"/>
  <c r="O13" i="10"/>
  <c r="L11" i="12"/>
  <c r="N4" i="14" l="1"/>
  <c r="L6" i="12"/>
  <c r="L4" i="12"/>
  <c r="N6" i="14"/>
  <c r="O8" i="10"/>
  <c r="L7" i="12"/>
  <c r="O10" i="10"/>
  <c r="O5" i="10"/>
  <c r="N7" i="14"/>
  <c r="O9" i="10"/>
  <c r="N8" i="14"/>
  <c r="N5" i="14"/>
  <c r="I63" i="27"/>
  <c r="P4" i="11"/>
  <c r="O7" i="10"/>
  <c r="L8" i="12"/>
  <c r="O6" i="10"/>
  <c r="P5" i="11"/>
  <c r="L5" i="12"/>
  <c r="J63" i="27"/>
  <c r="F63" i="27"/>
  <c r="G63" i="27"/>
  <c r="O3" i="10"/>
  <c r="L9" i="12"/>
  <c r="L13" i="12"/>
  <c r="O12" i="10"/>
  <c r="O11" i="10"/>
  <c r="L10" i="12"/>
  <c r="H18" i="27" l="1"/>
  <c r="H22" i="27" s="1"/>
  <c r="H51" i="27"/>
  <c r="H54" i="27" s="1"/>
  <c r="L45" i="28" l="1"/>
  <c r="H58" i="27"/>
  <c r="H60" i="27" s="1"/>
  <c r="H63" i="27" s="1"/>
  <c r="P3" i="11"/>
  <c r="L3" i="12" l="1"/>
  <c r="L15" i="12" s="1"/>
  <c r="O2" i="10"/>
  <c r="O16" i="10" s="1"/>
  <c r="P7" i="11" l="1"/>
  <c r="P2" i="11" s="1"/>
  <c r="O2" i="11" s="1"/>
  <c r="O5" i="11"/>
  <c r="O4" i="11" l="1"/>
  <c r="O3" i="11"/>
  <c r="O7" i="11" l="1"/>
  <c r="N3" i="14"/>
  <c r="P10" i="7" l="1"/>
  <c r="P4" i="7"/>
  <c r="Q3" i="8"/>
  <c r="Q4" i="8" s="1"/>
  <c r="P8" i="7"/>
  <c r="P7" i="7"/>
  <c r="P6" i="7"/>
  <c r="P3" i="7"/>
  <c r="P5" i="7"/>
  <c r="P13" i="7" l="1"/>
  <c r="O3"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menahemn</author>
    <author>micha</author>
  </authors>
  <commentList>
    <comment ref="C383" authorId="0" shapeId="0" xr:uid="{00000000-0006-0000-0000-000001000000}">
      <text>
        <r>
          <rPr>
            <b/>
            <sz val="8"/>
            <color indexed="81"/>
            <rFont val="Tahoma"/>
            <family val="2"/>
          </rPr>
          <t>menahemn:</t>
        </r>
        <r>
          <rPr>
            <sz val="8"/>
            <color indexed="81"/>
            <rFont val="Tahoma"/>
            <family val="2"/>
          </rPr>
          <t xml:space="preserve">
בת שרות</t>
        </r>
      </text>
    </comment>
    <comment ref="C385" authorId="0" shapeId="0" xr:uid="{00000000-0006-0000-0000-000002000000}">
      <text>
        <r>
          <rPr>
            <b/>
            <sz val="8"/>
            <color indexed="81"/>
            <rFont val="Tahoma"/>
            <family val="2"/>
          </rPr>
          <t>menahemn:</t>
        </r>
        <r>
          <rPr>
            <sz val="8"/>
            <color indexed="81"/>
            <rFont val="Tahoma"/>
            <family val="2"/>
          </rPr>
          <t xml:space="preserve">
האם להשאיר אותו דבר או להגדיל? היתה השתלמות יען גדי</t>
        </r>
      </text>
    </comment>
    <comment ref="C401" authorId="0" shapeId="0" xr:uid="{00000000-0006-0000-0000-000003000000}">
      <text>
        <r>
          <rPr>
            <b/>
            <sz val="8"/>
            <color indexed="81"/>
            <rFont val="Tahoma"/>
            <family val="2"/>
          </rPr>
          <t>menahemn:</t>
        </r>
        <r>
          <rPr>
            <sz val="8"/>
            <color indexed="81"/>
            <rFont val="Tahoma"/>
            <family val="2"/>
          </rPr>
          <t xml:space="preserve">
לשאול את ראובן קיים שריון גדול מאוד האם לקחת בחשבון גם השנה?</t>
        </r>
      </text>
    </comment>
    <comment ref="C514" authorId="0" shapeId="0" xr:uid="{00000000-0006-0000-0000-000004000000}">
      <text>
        <r>
          <rPr>
            <b/>
            <sz val="8"/>
            <color indexed="81"/>
            <rFont val="Tahoma"/>
            <family val="2"/>
          </rPr>
          <t>menahemn:</t>
        </r>
        <r>
          <rPr>
            <sz val="8"/>
            <color indexed="81"/>
            <rFont val="Tahoma"/>
            <family val="2"/>
          </rPr>
          <t xml:space="preserve">
השנה אין ביצוע, האם להשאיר או למחוק</t>
        </r>
      </text>
    </comment>
    <comment ref="C561" authorId="0" shapeId="0" xr:uid="{00000000-0006-0000-0000-000005000000}">
      <text>
        <r>
          <rPr>
            <b/>
            <sz val="8"/>
            <color indexed="81"/>
            <rFont val="Tahoma"/>
            <family val="2"/>
          </rPr>
          <t>menahemn:</t>
        </r>
        <r>
          <rPr>
            <sz val="8"/>
            <color indexed="81"/>
            <rFont val="Tahoma"/>
            <family val="2"/>
          </rPr>
          <t xml:space="preserve">
לפי חוזה אמור להיות כ 900</t>
        </r>
      </text>
    </comment>
    <comment ref="C575" authorId="0" shapeId="0" xr:uid="{00000000-0006-0000-0000-000006000000}">
      <text>
        <r>
          <rPr>
            <b/>
            <sz val="8"/>
            <color indexed="81"/>
            <rFont val="Tahoma"/>
            <family val="2"/>
          </rPr>
          <t>menahemn:</t>
        </r>
        <r>
          <rPr>
            <sz val="8"/>
            <color indexed="81"/>
            <rFont val="Tahoma"/>
            <family val="2"/>
          </rPr>
          <t xml:space="preserve">
נתון מגלית</t>
        </r>
      </text>
    </comment>
    <comment ref="C642" authorId="0" shapeId="0" xr:uid="{00000000-0006-0000-0000-000007000000}">
      <text>
        <r>
          <rPr>
            <b/>
            <sz val="8"/>
            <color indexed="81"/>
            <rFont val="Tahoma"/>
            <family val="2"/>
          </rPr>
          <t>menahemn:</t>
        </r>
        <r>
          <rPr>
            <sz val="8"/>
            <color indexed="81"/>
            <rFont val="Tahoma"/>
            <family val="2"/>
          </rPr>
          <t xml:space="preserve">
בן מיוסט</t>
        </r>
      </text>
    </comment>
    <comment ref="C702" authorId="1" shapeId="0" xr:uid="{00000000-0006-0000-0000-000008000000}">
      <text>
        <r>
          <rPr>
            <b/>
            <sz val="8"/>
            <color indexed="81"/>
            <rFont val="Tahoma"/>
            <family val="2"/>
          </rPr>
          <t>micha:</t>
        </r>
        <r>
          <rPr>
            <sz val="8"/>
            <color indexed="81"/>
            <rFont val="Tahoma"/>
            <family val="2"/>
          </rPr>
          <t xml:space="preserve">
לעדכן 910 </t>
        </r>
      </text>
    </comment>
    <comment ref="C709" authorId="1" shapeId="0" xr:uid="{00000000-0006-0000-0000-000009000000}">
      <text>
        <r>
          <rPr>
            <b/>
            <sz val="8"/>
            <color indexed="81"/>
            <rFont val="Tahoma"/>
            <family val="2"/>
          </rPr>
          <t>micha:</t>
        </r>
        <r>
          <rPr>
            <sz val="8"/>
            <color indexed="81"/>
            <rFont val="Tahoma"/>
            <family val="2"/>
          </rPr>
          <t xml:space="preserve">
שמירה שוק</t>
        </r>
      </text>
    </comment>
    <comment ref="C710" authorId="0" shapeId="0" xr:uid="{00000000-0006-0000-0000-00000A000000}">
      <text>
        <r>
          <rPr>
            <b/>
            <sz val="8"/>
            <color indexed="81"/>
            <rFont val="Tahoma"/>
            <family val="2"/>
          </rPr>
          <t>menahemn:</t>
        </r>
        <r>
          <rPr>
            <sz val="8"/>
            <color indexed="81"/>
            <rFont val="Tahoma"/>
            <family val="2"/>
          </rPr>
          <t xml:space="preserve">
חשמל </t>
        </r>
      </text>
    </comment>
    <comment ref="C716" authorId="0" shapeId="0" xr:uid="{00000000-0006-0000-0000-00000B000000}">
      <text>
        <r>
          <rPr>
            <b/>
            <sz val="8"/>
            <color indexed="81"/>
            <rFont val="Tahoma"/>
            <family val="2"/>
          </rPr>
          <t>menahemn:</t>
        </r>
        <r>
          <rPr>
            <sz val="8"/>
            <color indexed="81"/>
            <rFont val="Tahoma"/>
            <family val="2"/>
          </rPr>
          <t xml:space="preserve">
האם להשאיר אותו דבר שכן יש לנו הוצאות נמוכות יותר</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menahemn</author>
  </authors>
  <commentList>
    <comment ref="F679" authorId="0" shapeId="0" xr:uid="{00000000-0006-0000-0D00-000001000000}">
      <text>
        <r>
          <rPr>
            <b/>
            <sz val="8"/>
            <color indexed="81"/>
            <rFont val="Tahoma"/>
            <family val="2"/>
          </rPr>
          <t>menahemn:</t>
        </r>
        <r>
          <rPr>
            <sz val="8"/>
            <color indexed="81"/>
            <rFont val="Tahoma"/>
            <family val="2"/>
          </rPr>
          <t xml:space="preserve">
2000 אחרונים 
תוספת גלובלית על הכל</t>
        </r>
      </text>
    </comment>
    <comment ref="F708" authorId="0" shapeId="0" xr:uid="{00000000-0006-0000-0D00-000002000000}">
      <text>
        <r>
          <rPr>
            <b/>
            <sz val="8"/>
            <color indexed="81"/>
            <rFont val="Tahoma"/>
            <family val="2"/>
          </rPr>
          <t>menahemn:</t>
        </r>
        <r>
          <rPr>
            <sz val="8"/>
            <color indexed="81"/>
            <rFont val="Tahoma"/>
            <family val="2"/>
          </rPr>
          <t xml:space="preserve">
ירידה בעקבות מכרז אלקטרה</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menahemn</author>
  </authors>
  <commentList>
    <comment ref="C2" authorId="0" shapeId="0" xr:uid="{00000000-0006-0000-0F00-000001000000}">
      <text>
        <r>
          <rPr>
            <b/>
            <sz val="8"/>
            <color indexed="81"/>
            <rFont val="Tahoma"/>
            <family val="2"/>
          </rPr>
          <t>menahemn:</t>
        </r>
        <r>
          <rPr>
            <sz val="8"/>
            <color indexed="81"/>
            <rFont val="Tahoma"/>
            <family val="2"/>
          </rPr>
          <t xml:space="preserve">
פחות הערכה של 3.8 משח למשרדי ממשלה
- הוחלט לבנתיים שלא להפחית את הסכומים ממשרדי ממשלה</t>
        </r>
      </text>
    </comment>
    <comment ref="C15" authorId="0" shapeId="0" xr:uid="{00000000-0006-0000-0F00-000002000000}">
      <text>
        <r>
          <rPr>
            <b/>
            <sz val="8"/>
            <color indexed="81"/>
            <rFont val="Tahoma"/>
            <family val="2"/>
          </rPr>
          <t>menahemn:</t>
        </r>
        <r>
          <rPr>
            <sz val="8"/>
            <color indexed="81"/>
            <rFont val="Tahoma"/>
            <family val="2"/>
          </rPr>
          <t xml:space="preserve">
2105 משיכה מקרן
30 אחרות
2000 עבור החזר של הפועל עכו+
190808 עבור הוצאה אחת של ההלוואה ושיקים של הפועל</t>
        </r>
      </text>
    </comment>
    <comment ref="C16" authorId="0" shapeId="0" xr:uid="{00000000-0006-0000-0F00-000003000000}">
      <text>
        <r>
          <rPr>
            <b/>
            <sz val="8"/>
            <color indexed="81"/>
            <rFont val="Tahoma"/>
            <family val="2"/>
          </rPr>
          <t>menahemn:</t>
        </r>
        <r>
          <rPr>
            <sz val="8"/>
            <color indexed="81"/>
            <rFont val="Tahoma"/>
            <family val="2"/>
          </rPr>
          <t xml:space="preserve">
יישור קו מול הנחיות משרד הפנים קיצוץ של כ 4.5%</t>
        </r>
      </text>
    </comment>
    <comment ref="C17" authorId="0" shapeId="0" xr:uid="{00000000-0006-0000-0F00-000004000000}">
      <text>
        <r>
          <rPr>
            <b/>
            <sz val="8"/>
            <color indexed="81"/>
            <rFont val="Tahoma"/>
            <family val="2"/>
          </rPr>
          <t>menahemn:</t>
        </r>
        <r>
          <rPr>
            <sz val="8"/>
            <color indexed="81"/>
            <rFont val="Tahoma"/>
            <family val="2"/>
          </rPr>
          <t xml:space="preserve">
האם לתקצב במותנה?
1,500,000 עבור רזרבה
חלף דמי כניסה לדברי עאטף יהיה שיפוי אבל עד 2/3 מהסכום שניתן
 הערכה כ 666,000
+370 אלשח סיוע מענק 1000 ש"ח
ראובן החליט לתקצב 
בשוטף
+21*4 עבור צוערת
+שיפוי אזרחים ותיקים +פנסיה צוברת</t>
        </r>
      </text>
    </comment>
    <comment ref="C25" authorId="0" shapeId="0" xr:uid="{00000000-0006-0000-0F00-000005000000}">
      <text>
        <r>
          <rPr>
            <b/>
            <sz val="8"/>
            <color indexed="81"/>
            <rFont val="Tahoma"/>
            <family val="2"/>
          </rPr>
          <t>menahemn:</t>
        </r>
        <r>
          <rPr>
            <sz val="8"/>
            <color indexed="81"/>
            <rFont val="Tahoma"/>
            <family val="2"/>
          </rPr>
          <t xml:space="preserve">
ראובן ביקש לתקן ולהוסיף עוד 25 אלשח</t>
        </r>
      </text>
    </comment>
    <comment ref="C26" authorId="0" shapeId="0" xr:uid="{00000000-0006-0000-0F00-000006000000}">
      <text>
        <r>
          <rPr>
            <b/>
            <sz val="8"/>
            <color indexed="81"/>
            <rFont val="Tahoma"/>
            <family val="2"/>
          </rPr>
          <t>menahemn:</t>
        </r>
        <r>
          <rPr>
            <sz val="8"/>
            <color indexed="81"/>
            <rFont val="Tahoma"/>
            <family val="2"/>
          </rPr>
          <t xml:space="preserve">
ראובן ביקש לתקן 25 אלשח</t>
        </r>
      </text>
    </comment>
    <comment ref="C52" authorId="0" shapeId="0" xr:uid="{00000000-0006-0000-0F00-000007000000}">
      <text>
        <r>
          <rPr>
            <b/>
            <sz val="8"/>
            <color indexed="81"/>
            <rFont val="Tahoma"/>
            <family val="2"/>
          </rPr>
          <t>menahemn:</t>
        </r>
        <r>
          <rPr>
            <sz val="8"/>
            <color indexed="81"/>
            <rFont val="Tahoma"/>
            <family val="2"/>
          </rPr>
          <t xml:space="preserve">
תוספת של עוד 2 מש"ח בהתאםן להחלטת ראובן מיום 1.12.16</t>
        </r>
      </text>
    </comment>
    <comment ref="C53" authorId="0" shapeId="0" xr:uid="{00000000-0006-0000-0F00-000008000000}">
      <text>
        <r>
          <rPr>
            <b/>
            <sz val="8"/>
            <color indexed="81"/>
            <rFont val="Tahoma"/>
            <family val="2"/>
          </rPr>
          <t>menahemn:</t>
        </r>
        <r>
          <rPr>
            <sz val="8"/>
            <color indexed="81"/>
            <rFont val="Tahoma"/>
            <family val="2"/>
          </rPr>
          <t xml:space="preserve">
לבדוק</t>
        </r>
      </text>
    </comment>
    <comment ref="C121" authorId="0" shapeId="0" xr:uid="{00000000-0006-0000-0F00-000009000000}">
      <text>
        <r>
          <rPr>
            <b/>
            <sz val="8"/>
            <color indexed="81"/>
            <rFont val="Tahoma"/>
            <family val="2"/>
          </rPr>
          <t>menahemn:</t>
        </r>
        <r>
          <rPr>
            <sz val="8"/>
            <color indexed="81"/>
            <rFont val="Tahoma"/>
            <family val="2"/>
          </rPr>
          <t xml:space="preserve">
תוספת עבור חודשי הקיץ אבטחה רציפה</t>
        </r>
      </text>
    </comment>
    <comment ref="C123" authorId="0" shapeId="0" xr:uid="{00000000-0006-0000-0F00-00000A000000}">
      <text>
        <r>
          <rPr>
            <b/>
            <sz val="8"/>
            <color indexed="81"/>
            <rFont val="Tahoma"/>
            <family val="2"/>
          </rPr>
          <t>menahemn:</t>
        </r>
        <r>
          <rPr>
            <sz val="8"/>
            <color indexed="81"/>
            <rFont val="Tahoma"/>
            <family val="2"/>
          </rPr>
          <t xml:space="preserve">
תוספת לתקנים של שפ"י</t>
        </r>
      </text>
    </comment>
    <comment ref="C152" authorId="0" shapeId="0" xr:uid="{00000000-0006-0000-0F00-00000B000000}">
      <text>
        <r>
          <rPr>
            <b/>
            <sz val="8"/>
            <color indexed="81"/>
            <rFont val="Tahoma"/>
            <family val="2"/>
          </rPr>
          <t>menahemn:</t>
        </r>
        <r>
          <rPr>
            <sz val="8"/>
            <color indexed="81"/>
            <rFont val="Tahoma"/>
            <family val="2"/>
          </rPr>
          <t xml:space="preserve">
אלברט העביר מייל עבור הגדלת תמיכה בפסטיבל עכו</t>
        </r>
      </text>
    </comment>
    <comment ref="C165" authorId="0" shapeId="0" xr:uid="{00000000-0006-0000-0F00-00000C000000}">
      <text>
        <r>
          <rPr>
            <b/>
            <sz val="8"/>
            <color indexed="81"/>
            <rFont val="Tahoma"/>
            <family val="2"/>
          </rPr>
          <t>menahemn:</t>
        </r>
        <r>
          <rPr>
            <sz val="8"/>
            <color indexed="81"/>
            <rFont val="Tahoma"/>
            <family val="2"/>
          </rPr>
          <t xml:space="preserve">
נטו בקיזוז סייף</t>
        </r>
      </text>
    </comment>
    <comment ref="C209" authorId="0" shapeId="0" xr:uid="{00000000-0006-0000-0F00-00000D000000}">
      <text>
        <r>
          <rPr>
            <b/>
            <sz val="8"/>
            <color indexed="81"/>
            <rFont val="Tahoma"/>
            <family val="2"/>
          </rPr>
          <t>menahemn:</t>
        </r>
        <r>
          <rPr>
            <sz val="8"/>
            <color indexed="81"/>
            <rFont val="Tahoma"/>
            <family val="2"/>
          </rPr>
          <t xml:space="preserve">
בתוספת של קיזוז ממועדון מופת 23000</t>
        </r>
      </text>
    </comment>
    <comment ref="C402" authorId="0" shapeId="0" xr:uid="{00000000-0006-0000-0F00-00000E000000}">
      <text>
        <r>
          <rPr>
            <b/>
            <sz val="8"/>
            <color indexed="81"/>
            <rFont val="Tahoma"/>
            <family val="2"/>
          </rPr>
          <t>menahemn:</t>
        </r>
        <r>
          <rPr>
            <sz val="8"/>
            <color indexed="81"/>
            <rFont val="Tahoma"/>
            <family val="2"/>
          </rPr>
          <t xml:space="preserve">
1.12.16-ראובן החליט להוסיף עוד 50 אלש"ח</t>
        </r>
      </text>
    </comment>
    <comment ref="C411" authorId="0" shapeId="0" xr:uid="{00000000-0006-0000-0F00-00000F000000}">
      <text>
        <r>
          <rPr>
            <b/>
            <sz val="8"/>
            <color indexed="81"/>
            <rFont val="Tahoma"/>
            <family val="2"/>
          </rPr>
          <t>menahemn:</t>
        </r>
        <r>
          <rPr>
            <sz val="8"/>
            <color indexed="81"/>
            <rFont val="Tahoma"/>
            <family val="2"/>
          </rPr>
          <t xml:space="preserve">
תקבולים ממע"מ
תקבולים ממקורות</t>
        </r>
      </text>
    </comment>
    <comment ref="C433" authorId="0" shapeId="0" xr:uid="{00000000-0006-0000-0F00-000010000000}">
      <text>
        <r>
          <rPr>
            <b/>
            <sz val="8"/>
            <color indexed="81"/>
            <rFont val="Tahoma"/>
            <family val="2"/>
          </rPr>
          <t>menahemn:</t>
        </r>
        <r>
          <rPr>
            <sz val="8"/>
            <color indexed="81"/>
            <rFont val="Tahoma"/>
            <family val="2"/>
          </rPr>
          <t xml:space="preserve">
פעימות מונה
הוט
בזק
פעימות מונה</t>
        </r>
      </text>
    </comment>
    <comment ref="C440" authorId="0" shapeId="0" xr:uid="{00000000-0006-0000-0F00-000011000000}">
      <text>
        <r>
          <rPr>
            <b/>
            <sz val="8"/>
            <color indexed="81"/>
            <rFont val="Tahoma"/>
            <family val="2"/>
          </rPr>
          <t>menahemn:</t>
        </r>
        <r>
          <rPr>
            <sz val="8"/>
            <color indexed="81"/>
            <rFont val="Tahoma"/>
            <family val="2"/>
          </rPr>
          <t xml:space="preserve">
ראובן ביקש להוסיף ל 100 אלשח</t>
        </r>
      </text>
    </comment>
    <comment ref="C460" authorId="0" shapeId="0" xr:uid="{00000000-0006-0000-0F00-000012000000}">
      <text>
        <r>
          <rPr>
            <b/>
            <sz val="8"/>
            <color indexed="81"/>
            <rFont val="Tahoma"/>
            <family val="2"/>
          </rPr>
          <t>menahemn:</t>
        </r>
        <r>
          <rPr>
            <sz val="8"/>
            <color indexed="81"/>
            <rFont val="Tahoma"/>
            <family val="2"/>
          </rPr>
          <t xml:space="preserve">
פעימות מונה</t>
        </r>
      </text>
    </comment>
    <comment ref="C473" authorId="0" shapeId="0" xr:uid="{00000000-0006-0000-0F00-000013000000}">
      <text>
        <r>
          <rPr>
            <b/>
            <sz val="8"/>
            <color indexed="81"/>
            <rFont val="Tahoma"/>
            <family val="2"/>
          </rPr>
          <t>menahemn:</t>
        </r>
        <r>
          <rPr>
            <sz val="8"/>
            <color indexed="81"/>
            <rFont val="Tahoma"/>
            <family val="2"/>
          </rPr>
          <t xml:space="preserve">
הדפסות דליה
אוגדן תנאי שירות</t>
        </r>
      </text>
    </comment>
    <comment ref="C474" authorId="0" shapeId="0" xr:uid="{00000000-0006-0000-0F00-000014000000}">
      <text>
        <r>
          <rPr>
            <b/>
            <sz val="8"/>
            <color indexed="81"/>
            <rFont val="Tahoma"/>
            <family val="2"/>
          </rPr>
          <t>menahemn:</t>
        </r>
        <r>
          <rPr>
            <sz val="8"/>
            <color indexed="81"/>
            <rFont val="Tahoma"/>
            <family val="2"/>
          </rPr>
          <t xml:space="preserve">
פעימות מונה</t>
        </r>
      </text>
    </comment>
    <comment ref="C475" authorId="0" shapeId="0" xr:uid="{00000000-0006-0000-0F00-000015000000}">
      <text>
        <r>
          <rPr>
            <b/>
            <sz val="8"/>
            <color indexed="81"/>
            <rFont val="Tahoma"/>
            <family val="2"/>
          </rPr>
          <t>menahemn:</t>
        </r>
        <r>
          <rPr>
            <sz val="8"/>
            <color indexed="81"/>
            <rFont val="Tahoma"/>
            <family val="2"/>
          </rPr>
          <t xml:space="preserve">
ראובן החליט לצמצם ב 46 אלשח
לאחר ישיבה לפני ועדת כספים הוחלט להגדיל תקציב בהתאם לבקשת המרכז</t>
        </r>
      </text>
    </comment>
    <comment ref="C479" authorId="0" shapeId="0" xr:uid="{00000000-0006-0000-0F00-000016000000}">
      <text>
        <r>
          <rPr>
            <b/>
            <sz val="8"/>
            <color indexed="81"/>
            <rFont val="Tahoma"/>
            <family val="2"/>
          </rPr>
          <t>menahemn:</t>
        </r>
        <r>
          <rPr>
            <sz val="8"/>
            <color indexed="81"/>
            <rFont val="Tahoma"/>
            <family val="2"/>
          </rPr>
          <t xml:space="preserve">
כולל הוצאות של מנהלת אזור התעשייה
כנסים 10
טלפון 
אינטרנט
ציוד משרדי
ראובן ביקש להפחית את נושא ההשתלמויות ל 2000 שח </t>
        </r>
      </text>
    </comment>
    <comment ref="C481" authorId="0" shapeId="0" xr:uid="{00000000-0006-0000-0F00-000017000000}">
      <text>
        <r>
          <rPr>
            <b/>
            <sz val="8"/>
            <color indexed="81"/>
            <rFont val="Tahoma"/>
            <family val="2"/>
          </rPr>
          <t>menahemn:</t>
        </r>
        <r>
          <rPr>
            <sz val="8"/>
            <color indexed="81"/>
            <rFont val="Tahoma"/>
            <family val="2"/>
          </rPr>
          <t xml:space="preserve">
35= פעימות מונה</t>
        </r>
      </text>
    </comment>
    <comment ref="C483" authorId="0" shapeId="0" xr:uid="{00000000-0006-0000-0F00-000018000000}">
      <text>
        <r>
          <rPr>
            <b/>
            <sz val="8"/>
            <color indexed="81"/>
            <rFont val="Tahoma"/>
            <family val="2"/>
          </rPr>
          <t>menahemn:</t>
        </r>
        <r>
          <rPr>
            <sz val="8"/>
            <color indexed="81"/>
            <rFont val="Tahoma"/>
            <family val="2"/>
          </rPr>
          <t xml:space="preserve">
דמי חבר</t>
        </r>
      </text>
    </comment>
    <comment ref="C496" authorId="0" shapeId="0" xr:uid="{00000000-0006-0000-0F00-000019000000}">
      <text>
        <r>
          <rPr>
            <b/>
            <sz val="8"/>
            <color indexed="81"/>
            <rFont val="Tahoma"/>
            <family val="2"/>
          </rPr>
          <t>menahemn:</t>
        </r>
        <r>
          <rPr>
            <sz val="8"/>
            <color indexed="81"/>
            <rFont val="Tahoma"/>
            <family val="2"/>
          </rPr>
          <t xml:space="preserve">
פעימות מונה
בזק
</t>
        </r>
      </text>
    </comment>
    <comment ref="C498" authorId="0" shapeId="0" xr:uid="{00000000-0006-0000-0F00-00001A000000}">
      <text>
        <r>
          <rPr>
            <b/>
            <sz val="8"/>
            <color indexed="81"/>
            <rFont val="Tahoma"/>
            <family val="2"/>
          </rPr>
          <t>menahemn:</t>
        </r>
        <r>
          <rPr>
            <sz val="8"/>
            <color indexed="81"/>
            <rFont val="Tahoma"/>
            <family val="2"/>
          </rPr>
          <t xml:space="preserve">
נחמני,יועץ נגישות,ויועץ חכל
האם גם אמיר גורן???</t>
        </r>
      </text>
    </comment>
    <comment ref="C502" authorId="0" shapeId="0" xr:uid="{00000000-0006-0000-0F00-00001B000000}">
      <text>
        <r>
          <rPr>
            <b/>
            <sz val="8"/>
            <color indexed="81"/>
            <rFont val="Tahoma"/>
            <family val="2"/>
          </rPr>
          <t>menahemn:</t>
        </r>
        <r>
          <rPr>
            <sz val="8"/>
            <color indexed="81"/>
            <rFont val="Tahoma"/>
            <family val="2"/>
          </rPr>
          <t xml:space="preserve">
אחריות מקצועית כולל עו"ד מירון</t>
        </r>
      </text>
    </comment>
    <comment ref="C513" authorId="0" shapeId="0" xr:uid="{00000000-0006-0000-0F00-00001C000000}">
      <text>
        <r>
          <rPr>
            <b/>
            <sz val="8"/>
            <color indexed="81"/>
            <rFont val="Tahoma"/>
            <family val="2"/>
          </rPr>
          <t>menahemn:</t>
        </r>
        <r>
          <rPr>
            <sz val="8"/>
            <color indexed="81"/>
            <rFont val="Tahoma"/>
            <family val="2"/>
          </rPr>
          <t xml:space="preserve">
נטרלתי את כל הפרסומים שהיו ב 2016</t>
        </r>
      </text>
    </comment>
    <comment ref="C514" authorId="0" shapeId="0" xr:uid="{00000000-0006-0000-0F00-00001D000000}">
      <text>
        <r>
          <rPr>
            <b/>
            <sz val="8"/>
            <color indexed="81"/>
            <rFont val="Tahoma"/>
            <family val="2"/>
          </rPr>
          <t>menahemn:</t>
        </r>
        <r>
          <rPr>
            <sz val="8"/>
            <color indexed="81"/>
            <rFont val="Tahoma"/>
            <family val="2"/>
          </rPr>
          <t xml:space="preserve">
פעימות מונה</t>
        </r>
      </text>
    </comment>
    <comment ref="C515" authorId="0" shapeId="0" xr:uid="{00000000-0006-0000-0F00-00001E000000}">
      <text>
        <r>
          <rPr>
            <b/>
            <sz val="8"/>
            <color indexed="81"/>
            <rFont val="Tahoma"/>
            <family val="2"/>
          </rPr>
          <t>menahemn:</t>
        </r>
        <r>
          <rPr>
            <sz val="8"/>
            <color indexed="81"/>
            <rFont val="Tahoma"/>
            <family val="2"/>
          </rPr>
          <t xml:space="preserve">
בר טכנולוגיות 9500
ציוד בסיסי 3000</t>
        </r>
      </text>
    </comment>
    <comment ref="C518" authorId="0" shapeId="0" xr:uid="{00000000-0006-0000-0F00-00001F000000}">
      <text>
        <r>
          <rPr>
            <b/>
            <sz val="8"/>
            <color indexed="81"/>
            <rFont val="Tahoma"/>
            <family val="2"/>
          </rPr>
          <t>menahemn:</t>
        </r>
        <r>
          <rPr>
            <sz val="8"/>
            <color indexed="81"/>
            <rFont val="Tahoma"/>
            <family val="2"/>
          </rPr>
          <t xml:space="preserve">
במהלך השנה אם יהיה צורך נגבה אותה</t>
        </r>
      </text>
    </comment>
    <comment ref="C549" authorId="0" shapeId="0" xr:uid="{00000000-0006-0000-0F00-000020000000}">
      <text>
        <r>
          <rPr>
            <b/>
            <sz val="8"/>
            <color indexed="81"/>
            <rFont val="Tahoma"/>
            <family val="2"/>
          </rPr>
          <t>menahemn:</t>
        </r>
        <r>
          <rPr>
            <sz val="8"/>
            <color indexed="81"/>
            <rFont val="Tahoma"/>
            <family val="2"/>
          </rPr>
          <t xml:space="preserve">
לשיקול ראובן האם להוסיף את פישמן
עו"ד בג"ץ
15 השתלמות</t>
        </r>
      </text>
    </comment>
    <comment ref="C564" authorId="0" shapeId="0" xr:uid="{00000000-0006-0000-0F00-000021000000}">
      <text>
        <r>
          <rPr>
            <b/>
            <sz val="8"/>
            <color indexed="81"/>
            <rFont val="Tahoma"/>
            <family val="2"/>
          </rPr>
          <t>menahemn:</t>
        </r>
        <r>
          <rPr>
            <sz val="8"/>
            <color indexed="81"/>
            <rFont val="Tahoma"/>
            <family val="2"/>
          </rPr>
          <t xml:space="preserve">
450= פעימות
אוגדן תנאי שירות</t>
        </r>
      </text>
    </comment>
    <comment ref="C580" authorId="0" shapeId="0" xr:uid="{00000000-0006-0000-0F00-000022000000}">
      <text>
        <r>
          <rPr>
            <b/>
            <sz val="8"/>
            <color indexed="81"/>
            <rFont val="Tahoma"/>
            <family val="2"/>
          </rPr>
          <t>menahemn:</t>
        </r>
        <r>
          <rPr>
            <sz val="8"/>
            <color indexed="81"/>
            <rFont val="Tahoma"/>
            <family val="2"/>
          </rPr>
          <t xml:space="preserve">
טליאס חכל
טיפה גבוה יותר שיוכלו להכניס חד פעמיות אם יצטרכו</t>
        </r>
      </text>
    </comment>
    <comment ref="C605" authorId="0" shapeId="0" xr:uid="{00000000-0006-0000-0F00-000023000000}">
      <text>
        <r>
          <rPr>
            <b/>
            <sz val="8"/>
            <color indexed="81"/>
            <rFont val="Tahoma"/>
            <family val="2"/>
          </rPr>
          <t>menahemn:</t>
        </r>
        <r>
          <rPr>
            <sz val="8"/>
            <color indexed="81"/>
            <rFont val="Tahoma"/>
            <family val="2"/>
          </rPr>
          <t xml:space="preserve">
כולל עוד צפי להלוואה נוספת
ע"ס 6 משח</t>
        </r>
      </text>
    </comment>
    <comment ref="C613" authorId="0" shapeId="0" xr:uid="{00000000-0006-0000-0F00-000024000000}">
      <text>
        <r>
          <rPr>
            <b/>
            <sz val="8"/>
            <color indexed="81"/>
            <rFont val="Tahoma"/>
            <family val="2"/>
          </rPr>
          <t>menahemn:</t>
        </r>
        <r>
          <rPr>
            <sz val="8"/>
            <color indexed="81"/>
            <rFont val="Tahoma"/>
            <family val="2"/>
          </rPr>
          <t xml:space="preserve">
השתלמות מטה+גינון +רישוי עסקים</t>
        </r>
      </text>
    </comment>
    <comment ref="C642" authorId="0" shapeId="0" xr:uid="{00000000-0006-0000-0F00-000025000000}">
      <text>
        <r>
          <rPr>
            <b/>
            <sz val="8"/>
            <color indexed="81"/>
            <rFont val="Tahoma"/>
            <family val="2"/>
          </rPr>
          <t>menahemn:</t>
        </r>
        <r>
          <rPr>
            <sz val="8"/>
            <color indexed="81"/>
            <rFont val="Tahoma"/>
            <family val="2"/>
          </rPr>
          <t xml:space="preserve">
הוחלט לבסוף לתת את כל מה שהמנהל דרש</t>
        </r>
      </text>
    </comment>
    <comment ref="C644" authorId="0" shapeId="0" xr:uid="{00000000-0006-0000-0F00-000026000000}">
      <text>
        <r>
          <rPr>
            <b/>
            <sz val="8"/>
            <color indexed="81"/>
            <rFont val="Tahoma"/>
            <family val="2"/>
          </rPr>
          <t>menahemn:</t>
        </r>
        <r>
          <rPr>
            <sz val="8"/>
            <color indexed="81"/>
            <rFont val="Tahoma"/>
            <family val="2"/>
          </rPr>
          <t xml:space="preserve">
החלטת ראובן 80 אלשח
מיום 18.12.16 ראובן החליט כן לתת את כל הבקשה קרי 290 שנתי</t>
        </r>
      </text>
    </comment>
    <comment ref="C645" authorId="0" shapeId="0" xr:uid="{00000000-0006-0000-0F00-000027000000}">
      <text>
        <r>
          <rPr>
            <b/>
            <sz val="8"/>
            <color indexed="81"/>
            <rFont val="Tahoma"/>
            <family val="2"/>
          </rPr>
          <t>menahemn:</t>
        </r>
        <r>
          <rPr>
            <sz val="8"/>
            <color indexed="81"/>
            <rFont val="Tahoma"/>
            <family val="2"/>
          </rPr>
          <t xml:space="preserve">
בהתאם לביצוע קיים</t>
        </r>
      </text>
    </comment>
    <comment ref="C658" authorId="0" shapeId="0" xr:uid="{00000000-0006-0000-0F00-000028000000}">
      <text>
        <r>
          <rPr>
            <b/>
            <sz val="8"/>
            <color indexed="81"/>
            <rFont val="Tahoma"/>
            <family val="2"/>
          </rPr>
          <t>menahemn:</t>
        </r>
        <r>
          <rPr>
            <sz val="8"/>
            <color indexed="81"/>
            <rFont val="Tahoma"/>
            <family val="2"/>
          </rPr>
          <t xml:space="preserve">
23632 טון לפי פסולת ביתית במחיר 
של 146.9 לפני הנחה ולא כולל היטל
3984 טון לפי פסולת גושית במחיר של 121.9 לפני הנחה ולא כולל היטל
עד כאן עברון.
להלן אורוז:
344 טון גזם 
במחיר של 219 כמובן 
ללא הטמנה
1162 גזם מעורב
כאשר במחיר של 260 כאשר מחציתו   מוטמן ומחציתו לא</t>
        </r>
      </text>
    </comment>
    <comment ref="C687" authorId="0" shapeId="0" xr:uid="{00000000-0006-0000-0F00-000029000000}">
      <text>
        <r>
          <rPr>
            <b/>
            <sz val="8"/>
            <color indexed="81"/>
            <rFont val="Tahoma"/>
            <family val="2"/>
          </rPr>
          <t>menahemn:</t>
        </r>
        <r>
          <rPr>
            <sz val="8"/>
            <color indexed="81"/>
            <rFont val="Tahoma"/>
            <family val="2"/>
          </rPr>
          <t xml:space="preserve">
רכז ע"ע= 8 אלשח חודשי
25= תגבור חג</t>
        </r>
      </text>
    </comment>
    <comment ref="C706" authorId="0" shapeId="0" xr:uid="{00000000-0006-0000-0F00-00002A000000}">
      <text>
        <r>
          <rPr>
            <b/>
            <sz val="8"/>
            <color indexed="81"/>
            <rFont val="Tahoma"/>
            <family val="2"/>
          </rPr>
          <t>menahemn:</t>
        </r>
        <r>
          <rPr>
            <sz val="8"/>
            <color indexed="81"/>
            <rFont val="Tahoma"/>
            <family val="2"/>
          </rPr>
          <t xml:space="preserve">
בזק
פעימות מונה</t>
        </r>
      </text>
    </comment>
    <comment ref="C707" authorId="0" shapeId="0" xr:uid="{00000000-0006-0000-0F00-00002B000000}">
      <text>
        <r>
          <rPr>
            <b/>
            <sz val="8"/>
            <color indexed="81"/>
            <rFont val="Tahoma"/>
            <family val="2"/>
          </rPr>
          <t>menahemn:</t>
        </r>
        <r>
          <rPr>
            <sz val="8"/>
            <color indexed="81"/>
            <rFont val="Tahoma"/>
            <family val="2"/>
          </rPr>
          <t xml:space="preserve">
18900 בת שירות
3298 השתלמות</t>
        </r>
      </text>
    </comment>
    <comment ref="C726" authorId="0" shapeId="0" xr:uid="{00000000-0006-0000-0F00-00002C000000}">
      <text>
        <r>
          <rPr>
            <b/>
            <sz val="8"/>
            <color indexed="81"/>
            <rFont val="Tahoma"/>
            <family val="2"/>
          </rPr>
          <t>menahemn:</t>
        </r>
        <r>
          <rPr>
            <sz val="8"/>
            <color indexed="81"/>
            <rFont val="Tahoma"/>
            <family val="2"/>
          </rPr>
          <t xml:space="preserve">
5500= בזק
150= טלפון לוייני
100= בזק בינלאומי
315= פלאפון
</t>
        </r>
      </text>
    </comment>
    <comment ref="C732" authorId="0" shapeId="0" xr:uid="{00000000-0006-0000-0F00-00002D000000}">
      <text>
        <r>
          <rPr>
            <b/>
            <sz val="8"/>
            <color indexed="81"/>
            <rFont val="Tahoma"/>
            <family val="2"/>
          </rPr>
          <t>menahemn:</t>
        </r>
        <r>
          <rPr>
            <sz val="8"/>
            <color indexed="81"/>
            <rFont val="Tahoma"/>
            <family val="2"/>
          </rPr>
          <t xml:space="preserve">
כולל חגים ערבים עיד אל פיטר עיד אל עדחא
וכולל התחשבות בהעסקה רציפה של מאבטחים</t>
        </r>
      </text>
    </comment>
    <comment ref="C735" authorId="0" shapeId="0" xr:uid="{00000000-0006-0000-0F00-00002E000000}">
      <text>
        <r>
          <rPr>
            <b/>
            <sz val="8"/>
            <color indexed="81"/>
            <rFont val="Tahoma"/>
            <family val="2"/>
          </rPr>
          <t>menahemn:</t>
        </r>
        <r>
          <rPr>
            <sz val="8"/>
            <color indexed="81"/>
            <rFont val="Tahoma"/>
            <family val="2"/>
          </rPr>
          <t xml:space="preserve">
118 בלאי שלא ניתן לרכוש מתוך תקציב בתברים.
תחזוקה ע"ע 51
רחבי העיר 55
ממסר-22 אלשח 
</t>
        </r>
      </text>
    </comment>
    <comment ref="C736" authorId="0" shapeId="0" xr:uid="{00000000-0006-0000-0F00-00002F000000}">
      <text>
        <r>
          <rPr>
            <b/>
            <sz val="8"/>
            <color indexed="81"/>
            <rFont val="Tahoma"/>
            <family val="2"/>
          </rPr>
          <t>menahemn:</t>
        </r>
        <r>
          <rPr>
            <sz val="8"/>
            <color indexed="81"/>
            <rFont val="Tahoma"/>
            <family val="2"/>
          </rPr>
          <t xml:space="preserve">
האם עוד שכ"ט לזייד אורניב?</t>
        </r>
      </text>
    </comment>
    <comment ref="C737" authorId="0" shapeId="0" xr:uid="{00000000-0006-0000-0F00-000030000000}">
      <text>
        <r>
          <rPr>
            <b/>
            <sz val="8"/>
            <color indexed="81"/>
            <rFont val="Tahoma"/>
            <family val="2"/>
          </rPr>
          <t>menahemn:</t>
        </r>
        <r>
          <rPr>
            <sz val="8"/>
            <color indexed="81"/>
            <rFont val="Tahoma"/>
            <family val="2"/>
          </rPr>
          <t xml:space="preserve">
ממוצע עלות לדברי אלירן כ 174 אלש"ח ללא תקן "מיותר
ביולי אייל וניצנים ממשיך ומתוקצב באבטחת ביה"ס.באוגוסט אייל ממשיך חצי חודש</t>
        </r>
      </text>
    </comment>
    <comment ref="C758" authorId="0" shapeId="0" xr:uid="{00000000-0006-0000-0F00-000031000000}">
      <text>
        <r>
          <rPr>
            <b/>
            <sz val="8"/>
            <color indexed="81"/>
            <rFont val="Tahoma"/>
            <family val="2"/>
          </rPr>
          <t>menahemn:</t>
        </r>
        <r>
          <rPr>
            <sz val="8"/>
            <color indexed="81"/>
            <rFont val="Tahoma"/>
            <family val="2"/>
          </rPr>
          <t xml:space="preserve">
ניקיון משקים
ניקיון מקלטים מסיבי</t>
        </r>
      </text>
    </comment>
    <comment ref="C788" authorId="0" shapeId="0" xr:uid="{00000000-0006-0000-0F00-000032000000}">
      <text>
        <r>
          <rPr>
            <b/>
            <sz val="8"/>
            <color indexed="81"/>
            <rFont val="Tahoma"/>
            <family val="2"/>
          </rPr>
          <t>menahemn:</t>
        </r>
        <r>
          <rPr>
            <sz val="8"/>
            <color indexed="81"/>
            <rFont val="Tahoma"/>
            <family val="2"/>
          </rPr>
          <t xml:space="preserve">
3636*12= מטרו
2126= הדפסות
2152= טלדור
160= הוט
4000=שונות</t>
        </r>
      </text>
    </comment>
    <comment ref="C795" authorId="0" shapeId="0" xr:uid="{00000000-0006-0000-0F00-000033000000}">
      <text>
        <r>
          <rPr>
            <b/>
            <sz val="8"/>
            <color indexed="81"/>
            <rFont val="Tahoma"/>
            <family val="2"/>
          </rPr>
          <t>menahemn:</t>
        </r>
        <r>
          <rPr>
            <sz val="8"/>
            <color indexed="81"/>
            <rFont val="Tahoma"/>
            <family val="2"/>
          </rPr>
          <t xml:space="preserve">
בסיס שנה קודמת +15 יועץ תנועה
15 תמא
15 אגרונום
50 מדידות</t>
        </r>
      </text>
    </comment>
    <comment ref="C831" authorId="0" shapeId="0" xr:uid="{00000000-0006-0000-0F00-000034000000}">
      <text>
        <r>
          <rPr>
            <b/>
            <sz val="8"/>
            <color indexed="81"/>
            <rFont val="Tahoma"/>
            <family val="2"/>
          </rPr>
          <t>menahemn:</t>
        </r>
        <r>
          <rPr>
            <sz val="8"/>
            <color indexed="81"/>
            <rFont val="Tahoma"/>
            <family val="2"/>
          </rPr>
          <t xml:space="preserve">
לפי מייל מאלון ביום 14.11
אלון הקטין ממייל ביום 7.12.16
וזה כולל אלקטרה</t>
        </r>
      </text>
    </comment>
    <comment ref="C854" authorId="0" shapeId="0" xr:uid="{00000000-0006-0000-0F00-000035000000}">
      <text>
        <r>
          <rPr>
            <b/>
            <sz val="8"/>
            <color indexed="81"/>
            <rFont val="Tahoma"/>
            <family val="2"/>
          </rPr>
          <t>menahemn:</t>
        </r>
        <r>
          <rPr>
            <sz val="8"/>
            <color indexed="81"/>
            <rFont val="Tahoma"/>
            <family val="2"/>
          </rPr>
          <t xml:space="preserve">
ראובן החליט להוריד 0.5 משח</t>
        </r>
      </text>
    </comment>
    <comment ref="C861" authorId="0" shapeId="0" xr:uid="{00000000-0006-0000-0F00-000036000000}">
      <text>
        <r>
          <rPr>
            <b/>
            <sz val="8"/>
            <color indexed="81"/>
            <rFont val="Tahoma"/>
            <family val="2"/>
          </rPr>
          <t>menahemn:</t>
        </r>
        <r>
          <rPr>
            <sz val="8"/>
            <color indexed="81"/>
            <rFont val="Tahoma"/>
            <family val="2"/>
          </rPr>
          <t xml:space="preserve">
חודשיים עבודות הקמה
והפחתה נוספת עקב ישיבה של ראובן והמנכל מיום 21.12.16 
ההפחתה 0.5 משח 
מוציאים חלק לניהול עצמי</t>
        </r>
      </text>
    </comment>
    <comment ref="C875" authorId="0" shapeId="0" xr:uid="{00000000-0006-0000-0F00-000037000000}">
      <text>
        <r>
          <rPr>
            <b/>
            <sz val="8"/>
            <color indexed="81"/>
            <rFont val="Tahoma"/>
            <family val="2"/>
          </rPr>
          <t>menahemn:</t>
        </r>
        <r>
          <rPr>
            <sz val="8"/>
            <color indexed="81"/>
            <rFont val="Tahoma"/>
            <family val="2"/>
          </rPr>
          <t xml:space="preserve">
בזק בינלאומי
פעימות מונה
מירס</t>
        </r>
      </text>
    </comment>
    <comment ref="C876" authorId="0" shapeId="0" xr:uid="{00000000-0006-0000-0F00-000038000000}">
      <text>
        <r>
          <rPr>
            <b/>
            <sz val="8"/>
            <color indexed="81"/>
            <rFont val="Tahoma"/>
            <family val="2"/>
          </rPr>
          <t>menahemn:</t>
        </r>
        <r>
          <rPr>
            <sz val="8"/>
            <color indexed="81"/>
            <rFont val="Tahoma"/>
            <family val="2"/>
          </rPr>
          <t xml:space="preserve">
280= פעימות מונה</t>
        </r>
      </text>
    </comment>
    <comment ref="C894" authorId="0" shapeId="0" xr:uid="{00000000-0006-0000-0F00-000039000000}">
      <text>
        <r>
          <rPr>
            <b/>
            <sz val="8"/>
            <color indexed="81"/>
            <rFont val="Tahoma"/>
            <family val="2"/>
          </rPr>
          <t>menahemn:</t>
        </r>
        <r>
          <rPr>
            <sz val="8"/>
            <color indexed="81"/>
            <rFont val="Tahoma"/>
            <family val="2"/>
          </rPr>
          <t xml:space="preserve">
170= חשמל
</t>
        </r>
      </text>
    </comment>
    <comment ref="C896" authorId="0" shapeId="0" xr:uid="{00000000-0006-0000-0F00-00003A000000}">
      <text>
        <r>
          <rPr>
            <b/>
            <sz val="8"/>
            <color indexed="81"/>
            <rFont val="Tahoma"/>
            <family val="2"/>
          </rPr>
          <t>menahemn:</t>
        </r>
        <r>
          <rPr>
            <sz val="8"/>
            <color indexed="81"/>
            <rFont val="Tahoma"/>
            <family val="2"/>
          </rPr>
          <t xml:space="preserve">
בזק בילאומי=25
בזק= 160
</t>
        </r>
      </text>
    </comment>
    <comment ref="C898" authorId="0" shapeId="0" xr:uid="{00000000-0006-0000-0F00-00003B000000}">
      <text>
        <r>
          <rPr>
            <b/>
            <sz val="8"/>
            <color indexed="81"/>
            <rFont val="Tahoma"/>
            <family val="2"/>
          </rPr>
          <t>menahemn:</t>
        </r>
        <r>
          <rPr>
            <sz val="8"/>
            <color indexed="81"/>
            <rFont val="Tahoma"/>
            <family val="2"/>
          </rPr>
          <t xml:space="preserve">
הערכה של אלברט
עקב פתיחה מאוחרת של חופים לפי הערכת ראובן והמנכל מיום 21.12.2016 הוחלט לצמצם ב 200000</t>
        </r>
      </text>
    </comment>
    <comment ref="C904" authorId="0" shapeId="0" xr:uid="{00000000-0006-0000-0F00-00003C000000}">
      <text>
        <r>
          <rPr>
            <b/>
            <sz val="8"/>
            <color indexed="81"/>
            <rFont val="Tahoma"/>
            <family val="2"/>
          </rPr>
          <t>menahemn:</t>
        </r>
        <r>
          <rPr>
            <sz val="8"/>
            <color indexed="81"/>
            <rFont val="Tahoma"/>
            <family val="2"/>
          </rPr>
          <t xml:space="preserve">
12 אלשח שוטף
73242 שח עבור פינוי אסבסט
+90 אלשח ברזיות מבקר המדינה</t>
        </r>
      </text>
    </comment>
    <comment ref="C908" authorId="0" shapeId="0" xr:uid="{00000000-0006-0000-0F00-00003D000000}">
      <text>
        <r>
          <rPr>
            <b/>
            <sz val="8"/>
            <color indexed="81"/>
            <rFont val="Tahoma"/>
            <family val="2"/>
          </rPr>
          <t>menahemn:</t>
        </r>
        <r>
          <rPr>
            <sz val="8"/>
            <color indexed="81"/>
            <rFont val="Tahoma"/>
            <family val="2"/>
          </rPr>
          <t xml:space="preserve">
הנחיה של אוהד שהרכב
 יועמס על החכ"ל
4.1.16
ההנחיה בוטלה</t>
        </r>
      </text>
    </comment>
    <comment ref="C909" authorId="0" shapeId="0" xr:uid="{00000000-0006-0000-0F00-00003E000000}">
      <text>
        <r>
          <rPr>
            <b/>
            <sz val="8"/>
            <color indexed="81"/>
            <rFont val="Tahoma"/>
            <family val="2"/>
          </rPr>
          <t>menahemn:</t>
        </r>
        <r>
          <rPr>
            <sz val="8"/>
            <color indexed="81"/>
            <rFont val="Tahoma"/>
            <family val="2"/>
          </rPr>
          <t xml:space="preserve">
מאור בן זינו +שני עובדי אחזקה של החכל</t>
        </r>
      </text>
    </comment>
    <comment ref="C910" authorId="0" shapeId="0" xr:uid="{00000000-0006-0000-0F00-00003F000000}">
      <text>
        <r>
          <rPr>
            <b/>
            <sz val="8"/>
            <color indexed="81"/>
            <rFont val="Tahoma"/>
            <family val="2"/>
          </rPr>
          <t>menahemn:</t>
        </r>
        <r>
          <rPr>
            <sz val="8"/>
            <color indexed="81"/>
            <rFont val="Tahoma"/>
            <family val="2"/>
          </rPr>
          <t xml:space="preserve">
בישיבה מיום 21.12.16 הוחלט לצמצם ב 250 אלשח ארועים
סעיף זה צומצם ב 150 אלשח</t>
        </r>
      </text>
    </comment>
    <comment ref="C913" authorId="0" shapeId="0" xr:uid="{00000000-0006-0000-0F00-000040000000}">
      <text>
        <r>
          <rPr>
            <b/>
            <sz val="8"/>
            <color indexed="81"/>
            <rFont val="Tahoma"/>
            <family val="2"/>
          </rPr>
          <t>menahemn:</t>
        </r>
        <r>
          <rPr>
            <sz val="8"/>
            <color indexed="81"/>
            <rFont val="Tahoma"/>
            <family val="2"/>
          </rPr>
          <t xml:space="preserve">
בישיבה מיום 21.12.2016 
הוחלט לצמצם ב 250 אלשח אירועים
סעיף זה ב 50 אלשח</t>
        </r>
      </text>
    </comment>
    <comment ref="C916" authorId="0" shapeId="0" xr:uid="{00000000-0006-0000-0F00-000041000000}">
      <text>
        <r>
          <rPr>
            <b/>
            <sz val="8"/>
            <color indexed="81"/>
            <rFont val="Tahoma"/>
            <family val="2"/>
          </rPr>
          <t>menahemn:</t>
        </r>
        <r>
          <rPr>
            <sz val="8"/>
            <color indexed="81"/>
            <rFont val="Tahoma"/>
            <family val="2"/>
          </rPr>
          <t xml:space="preserve">
ביום 21.12.2016
אלברט הודיע שאירוע אליפות העולם מבוטל אי לכך גם שכרו של נינו
ב 22.12 ראובן ביקש להוסיף עוד 120 אלשח
התוספת בסוף הועברה לסעיף ארועי אביב</t>
        </r>
      </text>
    </comment>
    <comment ref="C917" authorId="0" shapeId="0" xr:uid="{00000000-0006-0000-0F00-000042000000}">
      <text>
        <r>
          <rPr>
            <b/>
            <sz val="8"/>
            <color indexed="81"/>
            <rFont val="Tahoma"/>
            <family val="2"/>
          </rPr>
          <t>menahemn:</t>
        </r>
        <r>
          <rPr>
            <sz val="8"/>
            <color indexed="81"/>
            <rFont val="Tahoma"/>
            <family val="2"/>
          </rPr>
          <t xml:space="preserve">
ביום 21.12.16 אלברט הודיע שהאירוע מבוטל</t>
        </r>
      </text>
    </comment>
    <comment ref="C924" authorId="0" shapeId="0" xr:uid="{00000000-0006-0000-0F00-000043000000}">
      <text>
        <r>
          <rPr>
            <b/>
            <sz val="8"/>
            <color indexed="81"/>
            <rFont val="Tahoma"/>
            <family val="2"/>
          </rPr>
          <t>menahemn:</t>
        </r>
        <r>
          <rPr>
            <sz val="8"/>
            <color indexed="81"/>
            <rFont val="Tahoma"/>
            <family val="2"/>
          </rPr>
          <t xml:space="preserve">
במסגרת תוכנית קיצוצים מיום 21.12.2016
הוחלט להוריד 50 אלשח מתקציב זה</t>
        </r>
      </text>
    </comment>
    <comment ref="C927" authorId="0" shapeId="0" xr:uid="{00000000-0006-0000-0F00-000044000000}">
      <text>
        <r>
          <rPr>
            <b/>
            <sz val="8"/>
            <color indexed="81"/>
            <rFont val="Tahoma"/>
            <family val="2"/>
          </rPr>
          <t>menahemn:</t>
        </r>
        <r>
          <rPr>
            <sz val="8"/>
            <color indexed="81"/>
            <rFont val="Tahoma"/>
            <family val="2"/>
          </rPr>
          <t xml:space="preserve">
בישיבה מיום 21.12.2016
הוחלט לקצץ 250 אלשח באירועים
קוצץ 50 מסעיף זה</t>
        </r>
      </text>
    </comment>
    <comment ref="C928" authorId="0" shapeId="0" xr:uid="{00000000-0006-0000-0F00-000045000000}">
      <text>
        <r>
          <rPr>
            <b/>
            <sz val="8"/>
            <color indexed="81"/>
            <rFont val="Tahoma"/>
            <family val="2"/>
          </rPr>
          <t>menahemn:</t>
        </r>
        <r>
          <rPr>
            <sz val="8"/>
            <color indexed="81"/>
            <rFont val="Tahoma"/>
            <family val="2"/>
          </rPr>
          <t xml:space="preserve">
מצינג עבור תב"ר  
שנפתח
עבור 2016</t>
        </r>
      </text>
    </comment>
    <comment ref="C940" authorId="0" shapeId="0" xr:uid="{00000000-0006-0000-0F00-000046000000}">
      <text>
        <r>
          <rPr>
            <b/>
            <sz val="8"/>
            <color indexed="81"/>
            <rFont val="Tahoma"/>
            <family val="2"/>
          </rPr>
          <t>menahemn:</t>
        </r>
        <r>
          <rPr>
            <sz val="8"/>
            <color indexed="81"/>
            <rFont val="Tahoma"/>
            <family val="2"/>
          </rPr>
          <t xml:space="preserve">
1000=בזק
הוט=188 
תדיראן=1825-ליסינג</t>
        </r>
      </text>
    </comment>
    <comment ref="C954" authorId="0" shapeId="0" xr:uid="{00000000-0006-0000-0F00-000047000000}">
      <text>
        <r>
          <rPr>
            <b/>
            <sz val="8"/>
            <color indexed="81"/>
            <rFont val="Tahoma"/>
            <family val="2"/>
          </rPr>
          <t>menahemn:</t>
        </r>
        <r>
          <rPr>
            <sz val="8"/>
            <color indexed="81"/>
            <rFont val="Tahoma"/>
            <family val="2"/>
          </rPr>
          <t xml:space="preserve">
במסגרת תוכנית קיצוצים מיום 21.12.2016
הוחלט להוריד סעיף זה ב 25 אלשח</t>
        </r>
      </text>
    </comment>
    <comment ref="C961" authorId="0" shapeId="0" xr:uid="{00000000-0006-0000-0F00-000048000000}">
      <text>
        <r>
          <rPr>
            <b/>
            <sz val="8"/>
            <color indexed="81"/>
            <rFont val="Tahoma"/>
            <family val="2"/>
          </rPr>
          <t>menahemn:</t>
        </r>
        <r>
          <rPr>
            <sz val="8"/>
            <color indexed="81"/>
            <rFont val="Tahoma"/>
            <family val="2"/>
          </rPr>
          <t xml:space="preserve">
תווי שי וימי הולדת</t>
        </r>
      </text>
    </comment>
    <comment ref="C974" authorId="0" shapeId="0" xr:uid="{00000000-0006-0000-0F00-000049000000}">
      <text>
        <r>
          <rPr>
            <b/>
            <sz val="8"/>
            <color indexed="81"/>
            <rFont val="Tahoma"/>
            <family val="2"/>
          </rPr>
          <t>menahemn:</t>
        </r>
        <r>
          <rPr>
            <sz val="8"/>
            <color indexed="81"/>
            <rFont val="Tahoma"/>
            <family val="2"/>
          </rPr>
          <t xml:space="preserve">
55= בזק בינלאומי
70=פעימות מונה</t>
        </r>
      </text>
    </comment>
    <comment ref="C979" authorId="0" shapeId="0" xr:uid="{00000000-0006-0000-0F00-00004A000000}">
      <text>
        <r>
          <rPr>
            <b/>
            <sz val="8"/>
            <color indexed="81"/>
            <rFont val="Tahoma"/>
            <family val="2"/>
          </rPr>
          <t>menahemn:</t>
        </r>
        <r>
          <rPr>
            <sz val="8"/>
            <color indexed="81"/>
            <rFont val="Tahoma"/>
            <family val="2"/>
          </rPr>
          <t xml:space="preserve">
שוטף +2000 כיבודים</t>
        </r>
      </text>
    </comment>
    <comment ref="C981" authorId="0" shapeId="0" xr:uid="{00000000-0006-0000-0F00-00004B000000}">
      <text>
        <r>
          <rPr>
            <b/>
            <sz val="8"/>
            <color indexed="81"/>
            <rFont val="Tahoma"/>
            <family val="2"/>
          </rPr>
          <t>menahemn:</t>
        </r>
        <r>
          <rPr>
            <sz val="8"/>
            <color indexed="81"/>
            <rFont val="Tahoma"/>
            <family val="2"/>
          </rPr>
          <t xml:space="preserve">
תוכנית קיצוצים מיום 21.12.2016
הוחלט להוריד 30 אלשח</t>
        </r>
      </text>
    </comment>
    <comment ref="C991" authorId="0" shapeId="0" xr:uid="{00000000-0006-0000-0F00-00004C000000}">
      <text>
        <r>
          <rPr>
            <b/>
            <sz val="8"/>
            <color indexed="81"/>
            <rFont val="Tahoma"/>
            <family val="2"/>
          </rPr>
          <t>menahemn:</t>
        </r>
        <r>
          <rPr>
            <sz val="8"/>
            <color indexed="81"/>
            <rFont val="Tahoma"/>
            <family val="2"/>
          </rPr>
          <t xml:space="preserve">
13068=מטרופולינט</t>
        </r>
      </text>
    </comment>
    <comment ref="C999" authorId="0" shapeId="0" xr:uid="{00000000-0006-0000-0F00-00004D000000}">
      <text>
        <r>
          <rPr>
            <b/>
            <sz val="8"/>
            <color indexed="81"/>
            <rFont val="Tahoma"/>
            <family val="2"/>
          </rPr>
          <t>menahemn:</t>
        </r>
        <r>
          <rPr>
            <sz val="8"/>
            <color indexed="81"/>
            <rFont val="Tahoma"/>
            <family val="2"/>
          </rPr>
          <t xml:space="preserve">
שיטור עירוני
+100 מוקדי רובעים</t>
        </r>
      </text>
    </comment>
    <comment ref="C1017" authorId="0" shapeId="0" xr:uid="{00000000-0006-0000-0F00-00004E000000}">
      <text>
        <r>
          <rPr>
            <b/>
            <sz val="8"/>
            <color indexed="81"/>
            <rFont val="Tahoma"/>
            <family val="2"/>
          </rPr>
          <t>menahemn:</t>
        </r>
        <r>
          <rPr>
            <sz val="8"/>
            <color indexed="81"/>
            <rFont val="Tahoma"/>
            <family val="2"/>
          </rPr>
          <t xml:space="preserve">
3000*24 סהכ צרכים 
מתוקצב גם בשיטור עירוני </t>
        </r>
      </text>
    </comment>
    <comment ref="C1018" authorId="0" shapeId="0" xr:uid="{00000000-0006-0000-0F00-00004F000000}">
      <text>
        <r>
          <rPr>
            <b/>
            <sz val="8"/>
            <color indexed="81"/>
            <rFont val="Tahoma"/>
            <family val="2"/>
          </rPr>
          <t xml:space="preserve">menahemn:
26
מסופונים
</t>
        </r>
      </text>
    </comment>
    <comment ref="C1020" authorId="0" shapeId="0" xr:uid="{00000000-0006-0000-0F00-000050000000}">
      <text>
        <r>
          <rPr>
            <b/>
            <sz val="8"/>
            <color indexed="81"/>
            <rFont val="Tahoma"/>
            <family val="2"/>
          </rPr>
          <t>menahemn:</t>
        </r>
        <r>
          <rPr>
            <sz val="8"/>
            <color indexed="81"/>
            <rFont val="Tahoma"/>
            <family val="2"/>
          </rPr>
          <t xml:space="preserve">
כולל ק"ק ותווי תושב/כיסא
כולל מעטפיות 30 אלשח</t>
        </r>
      </text>
    </comment>
    <comment ref="C1021" authorId="0" shapeId="0" xr:uid="{00000000-0006-0000-0F00-000051000000}">
      <text>
        <r>
          <rPr>
            <b/>
            <sz val="8"/>
            <color indexed="81"/>
            <rFont val="Tahoma"/>
            <family val="2"/>
          </rPr>
          <t>menahemn:</t>
        </r>
        <r>
          <rPr>
            <sz val="8"/>
            <color indexed="81"/>
            <rFont val="Tahoma"/>
            <family val="2"/>
          </rPr>
          <t xml:space="preserve">
רק שני רכבים מתוקצבים</t>
        </r>
      </text>
    </comment>
    <comment ref="C1044" authorId="0" shapeId="0" xr:uid="{00000000-0006-0000-0F00-000052000000}">
      <text>
        <r>
          <rPr>
            <b/>
            <sz val="8"/>
            <color indexed="81"/>
            <rFont val="Tahoma"/>
            <family val="2"/>
          </rPr>
          <t>menahemn:</t>
        </r>
        <r>
          <rPr>
            <sz val="8"/>
            <color indexed="81"/>
            <rFont val="Tahoma"/>
            <family val="2"/>
          </rPr>
          <t xml:space="preserve">
2713=מטרופולינט
</t>
        </r>
      </text>
    </comment>
    <comment ref="C1058" authorId="0" shapeId="0" xr:uid="{00000000-0006-0000-0F00-000053000000}">
      <text>
        <r>
          <rPr>
            <b/>
            <sz val="8"/>
            <color indexed="81"/>
            <rFont val="Tahoma"/>
            <family val="2"/>
          </rPr>
          <t>menahemn:</t>
        </r>
        <r>
          <rPr>
            <sz val="8"/>
            <color indexed="81"/>
            <rFont val="Tahoma"/>
            <family val="2"/>
          </rPr>
          <t xml:space="preserve">
1500=בזק
הוט=102</t>
        </r>
      </text>
    </comment>
    <comment ref="C1083" authorId="0" shapeId="0" xr:uid="{00000000-0006-0000-0F00-000054000000}">
      <text>
        <r>
          <rPr>
            <b/>
            <sz val="8"/>
            <color indexed="81"/>
            <rFont val="Tahoma"/>
            <family val="2"/>
          </rPr>
          <t>menahemn:</t>
        </r>
        <r>
          <rPr>
            <sz val="8"/>
            <color indexed="81"/>
            <rFont val="Tahoma"/>
            <family val="2"/>
          </rPr>
          <t xml:space="preserve">
תוספת בגין כיבוי אש</t>
        </r>
      </text>
    </comment>
    <comment ref="C1087" authorId="0" shapeId="0" xr:uid="{00000000-0006-0000-0F00-000055000000}">
      <text>
        <r>
          <rPr>
            <b/>
            <sz val="8"/>
            <color indexed="81"/>
            <rFont val="Tahoma"/>
            <family val="2"/>
          </rPr>
          <t>menahemn:</t>
        </r>
        <r>
          <rPr>
            <sz val="8"/>
            <color indexed="81"/>
            <rFont val="Tahoma"/>
            <family val="2"/>
          </rPr>
          <t xml:space="preserve">
הזנת חבד
פחות 100,000 של נחמיה
+70 עבור נחמיה 
דיון מיום 1.12
26.12
מאחר וניתנה הנחיה להעביר מקדמה ב 2016 של 100 אלשח,
ראובן ביקש שזה יבור ע"ח פעילות של 2017
לכן יחול קיצוץ בתקוותנו של 100 אלשח</t>
        </r>
      </text>
    </comment>
    <comment ref="C1091" authorId="0" shapeId="0" xr:uid="{00000000-0006-0000-0F00-000056000000}">
      <text>
        <r>
          <rPr>
            <b/>
            <sz val="8"/>
            <color indexed="81"/>
            <rFont val="Tahoma"/>
            <family val="2"/>
          </rPr>
          <t>menahemn:</t>
        </r>
        <r>
          <rPr>
            <sz val="8"/>
            <color indexed="81"/>
            <rFont val="Tahoma"/>
            <family val="2"/>
          </rPr>
          <t xml:space="preserve">
לבדוק שיפוי</t>
        </r>
      </text>
    </comment>
    <comment ref="C1112" authorId="0" shapeId="0" xr:uid="{00000000-0006-0000-0F00-000057000000}">
      <text>
        <r>
          <rPr>
            <b/>
            <sz val="8"/>
            <color indexed="81"/>
            <rFont val="Tahoma"/>
            <family val="2"/>
          </rPr>
          <t>menahemn:</t>
        </r>
        <r>
          <rPr>
            <sz val="8"/>
            <color indexed="81"/>
            <rFont val="Tahoma"/>
            <family val="2"/>
          </rPr>
          <t xml:space="preserve">
שולמית אזולאי נוספה מהרווחה</t>
        </r>
      </text>
    </comment>
    <comment ref="C1137" authorId="0" shapeId="0" xr:uid="{00000000-0006-0000-0F00-000058000000}">
      <text>
        <r>
          <rPr>
            <b/>
            <sz val="8"/>
            <color indexed="81"/>
            <rFont val="Tahoma"/>
            <family val="2"/>
          </rPr>
          <t>menahemn:</t>
        </r>
        <r>
          <rPr>
            <sz val="8"/>
            <color indexed="81"/>
            <rFont val="Tahoma"/>
            <family val="2"/>
          </rPr>
          <t xml:space="preserve">
תוספות של משרד החינוך לשפ"י</t>
        </r>
      </text>
    </comment>
    <comment ref="C1181" authorId="0" shapeId="0" xr:uid="{00000000-0006-0000-0F00-000059000000}">
      <text>
        <r>
          <rPr>
            <b/>
            <sz val="8"/>
            <color indexed="81"/>
            <rFont val="Tahoma"/>
            <family val="2"/>
          </rPr>
          <t>menahemn:</t>
        </r>
        <r>
          <rPr>
            <sz val="8"/>
            <color indexed="81"/>
            <rFont val="Tahoma"/>
            <family val="2"/>
          </rPr>
          <t xml:space="preserve">
קיזוז של 188 עבור הוט ששייך למוקד העירוני</t>
        </r>
      </text>
    </comment>
    <comment ref="C1239" authorId="0" shapeId="0" xr:uid="{00000000-0006-0000-0F00-00005A000000}">
      <text>
        <r>
          <rPr>
            <b/>
            <sz val="8"/>
            <color indexed="81"/>
            <rFont val="Tahoma"/>
            <family val="2"/>
          </rPr>
          <t>menahemn:</t>
        </r>
        <r>
          <rPr>
            <sz val="8"/>
            <color indexed="81"/>
            <rFont val="Tahoma"/>
            <family val="2"/>
          </rPr>
          <t xml:space="preserve">
כולל שכירות כפפות הזהב
וכולל 80 אלש"ח עבור פעילות מתנס עכו 
עתיקה
בתוספת של 20 אלשח בהתאם לישיבת ועדת תקציב 4.1.16</t>
        </r>
      </text>
    </comment>
    <comment ref="C1255" authorId="0" shapeId="0" xr:uid="{00000000-0006-0000-0F00-00005B000000}">
      <text>
        <r>
          <rPr>
            <b/>
            <sz val="8"/>
            <color indexed="81"/>
            <rFont val="Tahoma"/>
            <family val="2"/>
          </rPr>
          <t>menahemn:</t>
        </r>
        <r>
          <rPr>
            <sz val="8"/>
            <color indexed="81"/>
            <rFont val="Tahoma"/>
            <family val="2"/>
          </rPr>
          <t xml:space="preserve">
במידה ויהיה צורך יתוקצב בהמשך</t>
        </r>
      </text>
    </comment>
    <comment ref="C1257" authorId="0" shapeId="0" xr:uid="{00000000-0006-0000-0F00-00005C000000}">
      <text>
        <r>
          <rPr>
            <b/>
            <sz val="8"/>
            <color indexed="81"/>
            <rFont val="Tahoma"/>
            <family val="2"/>
          </rPr>
          <t>menahemn:</t>
        </r>
        <r>
          <rPr>
            <sz val="8"/>
            <color indexed="81"/>
            <rFont val="Tahoma"/>
            <family val="2"/>
          </rPr>
          <t xml:space="preserve">
בזק =400</t>
        </r>
      </text>
    </comment>
    <comment ref="C1267" authorId="0" shapeId="0" xr:uid="{00000000-0006-0000-0F00-00005D000000}">
      <text>
        <r>
          <rPr>
            <b/>
            <sz val="8"/>
            <color indexed="81"/>
            <rFont val="Tahoma"/>
            <family val="2"/>
          </rPr>
          <t>menahemn:</t>
        </r>
        <r>
          <rPr>
            <sz val="8"/>
            <color indexed="81"/>
            <rFont val="Tahoma"/>
            <family val="2"/>
          </rPr>
          <t xml:space="preserve">
יבוא כהנחה בשכר לימוד  ונראה פחות הכנסות </t>
        </r>
      </text>
    </comment>
    <comment ref="C1277" authorId="0" shapeId="0" xr:uid="{00000000-0006-0000-0F00-00005E000000}">
      <text>
        <r>
          <rPr>
            <b/>
            <sz val="8"/>
            <color indexed="81"/>
            <rFont val="Tahoma"/>
            <family val="2"/>
          </rPr>
          <t>menahemn:</t>
        </r>
        <r>
          <rPr>
            <sz val="8"/>
            <color indexed="81"/>
            <rFont val="Tahoma"/>
            <family val="2"/>
          </rPr>
          <t xml:space="preserve">
עוד 25 בהתאם לישיבה עם אלי חביב וראובן </t>
        </r>
      </text>
    </comment>
    <comment ref="C1284" authorId="0" shapeId="0" xr:uid="{00000000-0006-0000-0F00-00005F000000}">
      <text>
        <r>
          <rPr>
            <b/>
            <sz val="8"/>
            <color indexed="81"/>
            <rFont val="Tahoma"/>
            <family val="2"/>
          </rPr>
          <t>menahemn:</t>
        </r>
        <r>
          <rPr>
            <sz val="8"/>
            <color indexed="81"/>
            <rFont val="Tahoma"/>
            <family val="2"/>
          </rPr>
          <t xml:space="preserve">
ללא חטואל שפורש</t>
        </r>
      </text>
    </comment>
    <comment ref="C1292" authorId="0" shapeId="0" xr:uid="{00000000-0006-0000-0F00-000060000000}">
      <text>
        <r>
          <rPr>
            <b/>
            <sz val="8"/>
            <color indexed="81"/>
            <rFont val="Tahoma"/>
            <family val="2"/>
          </rPr>
          <t>menahemn:</t>
        </r>
        <r>
          <rPr>
            <sz val="8"/>
            <color indexed="81"/>
            <rFont val="Tahoma"/>
            <family val="2"/>
          </rPr>
          <t xml:space="preserve">
עוד שני משח עקב סגירת חו"ז הפועל
ראובן החליט ב 1.12.16 להקטין ב 1 מש"ח
בישיבה מיום 21.12.2016
הוחלט לבצע קיצוצים 0.5 משח מתקציב תמיכות</t>
        </r>
      </text>
    </comment>
    <comment ref="C1293" authorId="0" shapeId="0" xr:uid="{00000000-0006-0000-0F00-000061000000}">
      <text>
        <r>
          <rPr>
            <b/>
            <sz val="8"/>
            <color indexed="81"/>
            <rFont val="Tahoma"/>
            <family val="2"/>
          </rPr>
          <t>menahemn:</t>
        </r>
        <r>
          <rPr>
            <sz val="8"/>
            <color indexed="81"/>
            <rFont val="Tahoma"/>
            <family val="2"/>
          </rPr>
          <t xml:space="preserve">
25=בזק בינלאומי
הוט=80</t>
        </r>
      </text>
    </comment>
    <comment ref="C1308" authorId="0" shapeId="0" xr:uid="{00000000-0006-0000-0F00-000062000000}">
      <text>
        <r>
          <rPr>
            <b/>
            <sz val="8"/>
            <color indexed="81"/>
            <rFont val="Tahoma"/>
            <family val="2"/>
          </rPr>
          <t>menahemn:</t>
        </r>
        <r>
          <rPr>
            <sz val="8"/>
            <color indexed="81"/>
            <rFont val="Tahoma"/>
            <family val="2"/>
          </rPr>
          <t xml:space="preserve">
מטרופולינט</t>
        </r>
      </text>
    </comment>
    <comment ref="C1541" authorId="0" shapeId="0" xr:uid="{00000000-0006-0000-0F00-000063000000}">
      <text>
        <r>
          <rPr>
            <b/>
            <sz val="8"/>
            <color indexed="81"/>
            <rFont val="Tahoma"/>
            <family val="2"/>
          </rPr>
          <t>menahemn:</t>
        </r>
        <r>
          <rPr>
            <sz val="8"/>
            <color indexed="81"/>
            <rFont val="Tahoma"/>
            <family val="2"/>
          </rPr>
          <t xml:space="preserve">
קיבלתי עדכון שנצטרך לתת יותר הקצבה בגלל עליות שכר במועצות הדתיות</t>
        </r>
      </text>
    </comment>
    <comment ref="C1576" authorId="0" shapeId="0" xr:uid="{00000000-0006-0000-0F00-000064000000}">
      <text>
        <r>
          <rPr>
            <b/>
            <sz val="8"/>
            <color indexed="81"/>
            <rFont val="Tahoma"/>
            <family val="2"/>
          </rPr>
          <t>menahemn:</t>
        </r>
        <r>
          <rPr>
            <sz val="8"/>
            <color indexed="81"/>
            <rFont val="Tahoma"/>
            <family val="2"/>
          </rPr>
          <t xml:space="preserve">
13000=זיצר
בר טכנולוגיות=
</t>
        </r>
      </text>
    </comment>
    <comment ref="C1582" authorId="0" shapeId="0" xr:uid="{00000000-0006-0000-0F00-000065000000}">
      <text>
        <r>
          <rPr>
            <b/>
            <sz val="8"/>
            <color indexed="81"/>
            <rFont val="Tahoma"/>
            <family val="2"/>
          </rPr>
          <t>menahemn:</t>
        </r>
        <r>
          <rPr>
            <sz val="8"/>
            <color indexed="81"/>
            <rFont val="Tahoma"/>
            <family val="2"/>
          </rPr>
          <t xml:space="preserve">
50=בזק
17*6=חשמל
ציוד משרדי=1000
3000=אחרות
תוספת של 101 אלשח בהתאם לדרישת תפעול</t>
        </r>
      </text>
    </comment>
    <comment ref="C1592" authorId="0" shapeId="0" xr:uid="{00000000-0006-0000-0F00-000066000000}">
      <text>
        <r>
          <rPr>
            <b/>
            <sz val="8"/>
            <color indexed="81"/>
            <rFont val="Tahoma"/>
            <family val="2"/>
          </rPr>
          <t>menahemn:</t>
        </r>
        <r>
          <rPr>
            <sz val="8"/>
            <color indexed="81"/>
            <rFont val="Tahoma"/>
            <family val="2"/>
          </rPr>
          <t xml:space="preserve">
850=בזק בינלאומי
13000=בזק
דואר = 20000
366=הוט מובייל
4000=סלקום
4095=תדיראן</t>
        </r>
      </text>
    </comment>
    <comment ref="C1594" authorId="0" shapeId="0" xr:uid="{00000000-0006-0000-0F00-000067000000}">
      <text>
        <r>
          <rPr>
            <b/>
            <sz val="8"/>
            <color indexed="81"/>
            <rFont val="Tahoma"/>
            <family val="2"/>
          </rPr>
          <t>menahemn:</t>
        </r>
        <r>
          <rPr>
            <sz val="8"/>
            <color indexed="81"/>
            <rFont val="Tahoma"/>
            <family val="2"/>
          </rPr>
          <t xml:space="preserve">
7326= מטרופולינט
45= הדפסות
</t>
        </r>
      </text>
    </comment>
    <comment ref="C1595" authorId="0" shapeId="0" xr:uid="{00000000-0006-0000-0F00-000068000000}">
      <text>
        <r>
          <rPr>
            <b/>
            <sz val="8"/>
            <color indexed="81"/>
            <rFont val="Tahoma"/>
            <family val="2"/>
          </rPr>
          <t>menahemn:</t>
        </r>
        <r>
          <rPr>
            <sz val="8"/>
            <color indexed="81"/>
            <rFont val="Tahoma"/>
            <family val="2"/>
          </rPr>
          <t xml:space="preserve">
בנק שאילתות=20
helpdesk 50
אופיסים= 50
אחרות =10
יש לבחון עוד תוספת של 20 אלשח 
בגין אבטחת מידע שירות...
63 אלשח השלמה לאופיסים</t>
        </r>
      </text>
    </comment>
    <comment ref="C1605" authorId="0" shapeId="0" xr:uid="{00000000-0006-0000-0F00-000069000000}">
      <text>
        <r>
          <rPr>
            <b/>
            <sz val="8"/>
            <color indexed="81"/>
            <rFont val="Tahoma"/>
            <family val="2"/>
          </rPr>
          <t>menahemn:</t>
        </r>
        <r>
          <rPr>
            <sz val="8"/>
            <color indexed="81"/>
            <rFont val="Tahoma"/>
            <family val="2"/>
          </rPr>
          <t xml:space="preserve">
בתוספת של 20 אלשח למטבחונים
עוד תוספת של 10 עבור מטבחון לכספים</t>
        </r>
      </text>
    </comment>
    <comment ref="C1619" authorId="0" shapeId="0" xr:uid="{00000000-0006-0000-0F00-00006A000000}">
      <text>
        <r>
          <rPr>
            <b/>
            <sz val="8"/>
            <color indexed="81"/>
            <rFont val="Tahoma"/>
            <family val="2"/>
          </rPr>
          <t>menahemn:</t>
        </r>
        <r>
          <rPr>
            <sz val="8"/>
            <color indexed="81"/>
            <rFont val="Tahoma"/>
            <family val="2"/>
          </rPr>
          <t xml:space="preserve">
65 =פעימות מונה</t>
        </r>
      </text>
    </comment>
    <comment ref="C1620" authorId="0" shapeId="0" xr:uid="{00000000-0006-0000-0F00-00006B000000}">
      <text>
        <r>
          <rPr>
            <b/>
            <sz val="8"/>
            <color indexed="81"/>
            <rFont val="Tahoma"/>
            <family val="2"/>
          </rPr>
          <t>menahemn:</t>
        </r>
        <r>
          <rPr>
            <sz val="8"/>
            <color indexed="81"/>
            <rFont val="Tahoma"/>
            <family val="2"/>
          </rPr>
          <t xml:space="preserve">
מטרו</t>
        </r>
      </text>
    </comment>
    <comment ref="C1625" authorId="0" shapeId="0" xr:uid="{00000000-0006-0000-0F00-00006C000000}">
      <text>
        <r>
          <rPr>
            <b/>
            <sz val="8"/>
            <color indexed="81"/>
            <rFont val="Tahoma"/>
            <family val="2"/>
          </rPr>
          <t>menahemn:</t>
        </r>
        <r>
          <rPr>
            <sz val="8"/>
            <color indexed="81"/>
            <rFont val="Tahoma"/>
            <family val="2"/>
          </rPr>
          <t xml:space="preserve">
בזק בינלאומי =26
</t>
        </r>
      </text>
    </comment>
    <comment ref="C1626" authorId="0" shapeId="0" xr:uid="{00000000-0006-0000-0F00-00006D000000}">
      <text>
        <r>
          <rPr>
            <b/>
            <sz val="8"/>
            <color indexed="81"/>
            <rFont val="Tahoma"/>
            <family val="2"/>
          </rPr>
          <t>menahemn:</t>
        </r>
        <r>
          <rPr>
            <sz val="8"/>
            <color indexed="81"/>
            <rFont val="Tahoma"/>
            <family val="2"/>
          </rPr>
          <t xml:space="preserve">
קטנוע נוסף לרכישה</t>
        </r>
      </text>
    </comment>
    <comment ref="C1627" authorId="0" shapeId="0" xr:uid="{00000000-0006-0000-0F00-00006E000000}">
      <text>
        <r>
          <rPr>
            <b/>
            <sz val="8"/>
            <color indexed="81"/>
            <rFont val="Tahoma"/>
            <family val="2"/>
          </rPr>
          <t>menahemn:</t>
        </r>
        <r>
          <rPr>
            <sz val="8"/>
            <color indexed="81"/>
            <rFont val="Tahoma"/>
            <family val="2"/>
          </rPr>
          <t xml:space="preserve">
שוטף 9000
18500 השתלמות</t>
        </r>
      </text>
    </comment>
    <comment ref="C1683" authorId="0" shapeId="0" xr:uid="{00000000-0006-0000-0F00-00006F000000}">
      <text>
        <r>
          <rPr>
            <b/>
            <sz val="8"/>
            <color indexed="81"/>
            <rFont val="Tahoma"/>
            <family val="2"/>
          </rPr>
          <t>menahemn:</t>
        </r>
        <r>
          <rPr>
            <sz val="8"/>
            <color indexed="81"/>
            <rFont val="Tahoma"/>
            <family val="2"/>
          </rPr>
          <t xml:space="preserve">
עמותה לקידום מקצועי+עמותה לקידום 
מקצועי חברתי+מועדון שלך שוטף+גמלאים</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menahemn</author>
    <author>מנחם נויפלד - מנהל מח' חשבונות</author>
  </authors>
  <commentList>
    <comment ref="G6" authorId="0" shapeId="0" xr:uid="{00000000-0006-0000-1400-000001000000}">
      <text>
        <r>
          <rPr>
            <b/>
            <sz val="8"/>
            <color indexed="81"/>
            <rFont val="Tahoma"/>
            <family val="2"/>
          </rPr>
          <t>menahemn:</t>
        </r>
        <r>
          <rPr>
            <sz val="8"/>
            <color indexed="81"/>
            <rFont val="Tahoma"/>
            <family val="2"/>
          </rPr>
          <t xml:space="preserve">
נלקח בחשבון גם קיזוז ממועדון מופת בגין השתתפות עצמית</t>
        </r>
      </text>
    </comment>
    <comment ref="F187" authorId="0" shapeId="0" xr:uid="{00000000-0006-0000-1400-000002000000}">
      <text>
        <r>
          <rPr>
            <b/>
            <sz val="8"/>
            <color indexed="81"/>
            <rFont val="Tahoma"/>
            <family val="2"/>
          </rPr>
          <t>menahemn:</t>
        </r>
        <r>
          <rPr>
            <sz val="8"/>
            <color indexed="81"/>
            <rFont val="Tahoma"/>
            <family val="2"/>
          </rPr>
          <t xml:space="preserve">
800 הדפסות
</t>
        </r>
      </text>
    </comment>
    <comment ref="F188" authorId="0" shapeId="0" xr:uid="{00000000-0006-0000-1400-000003000000}">
      <text>
        <r>
          <rPr>
            <b/>
            <sz val="8"/>
            <color indexed="81"/>
            <rFont val="Tahoma"/>
            <family val="2"/>
          </rPr>
          <t>menahemn:</t>
        </r>
        <r>
          <rPr>
            <sz val="8"/>
            <color indexed="81"/>
            <rFont val="Tahoma"/>
            <family val="2"/>
          </rPr>
          <t xml:space="preserve">
1511 מטרופולינט</t>
        </r>
      </text>
    </comment>
    <comment ref="F226" authorId="0" shapeId="0" xr:uid="{00000000-0006-0000-1400-000004000000}">
      <text>
        <r>
          <rPr>
            <b/>
            <sz val="8"/>
            <color indexed="81"/>
            <rFont val="Tahoma"/>
            <family val="2"/>
          </rPr>
          <t>menahemn:</t>
        </r>
        <r>
          <rPr>
            <sz val="8"/>
            <color indexed="81"/>
            <rFont val="Tahoma"/>
            <family val="2"/>
          </rPr>
          <t xml:space="preserve">
נלקחו תעריפים ממוצעים
40 ילדי אמונה +
86 ילדים אחרים</t>
        </r>
      </text>
    </comment>
    <comment ref="F227" authorId="0" shapeId="0" xr:uid="{00000000-0006-0000-1400-000005000000}">
      <text>
        <r>
          <rPr>
            <b/>
            <sz val="8"/>
            <color indexed="81"/>
            <rFont val="Tahoma"/>
            <family val="2"/>
          </rPr>
          <t>menahemn:</t>
        </r>
        <r>
          <rPr>
            <sz val="8"/>
            <color indexed="81"/>
            <rFont val="Tahoma"/>
            <family val="2"/>
          </rPr>
          <t xml:space="preserve">
120=בזק
26= בזק בינלאומי</t>
        </r>
      </text>
    </comment>
    <comment ref="E241" authorId="0" shapeId="0" xr:uid="{00000000-0006-0000-1400-000006000000}">
      <text>
        <r>
          <rPr>
            <b/>
            <sz val="8"/>
            <color indexed="81"/>
            <rFont val="Tahoma"/>
            <family val="2"/>
          </rPr>
          <t>menahemn:</t>
        </r>
        <r>
          <rPr>
            <sz val="8"/>
            <color indexed="81"/>
            <rFont val="Tahoma"/>
            <family val="2"/>
          </rPr>
          <t xml:space="preserve">
5000 שעות בשנה</t>
        </r>
      </text>
    </comment>
    <comment ref="G241" authorId="1" shapeId="0" xr:uid="{00000000-0006-0000-1400-000007000000}">
      <text>
        <r>
          <rPr>
            <b/>
            <sz val="9"/>
            <color indexed="81"/>
            <rFont val="Tahoma"/>
            <family val="2"/>
          </rPr>
          <t>מנחם נויפלד - מנהל מח' חשבונות:</t>
        </r>
        <r>
          <rPr>
            <sz val="9"/>
            <color indexed="81"/>
            <rFont val="Tahoma"/>
            <family val="2"/>
          </rPr>
          <t xml:space="preserve">
לילך צריכה לשאול עבור ניצול צפוי של השעות</t>
        </r>
      </text>
    </comment>
    <comment ref="F242" authorId="1" shapeId="0" xr:uid="{00000000-0006-0000-1400-000008000000}">
      <text>
        <r>
          <rPr>
            <b/>
            <sz val="9"/>
            <color indexed="81"/>
            <rFont val="Tahoma"/>
            <family val="2"/>
          </rPr>
          <t>מנחם נויפלד - מנהל מח' חשבונות:</t>
        </r>
        <r>
          <rPr>
            <sz val="9"/>
            <color indexed="81"/>
            <rFont val="Tahoma"/>
            <family val="2"/>
          </rPr>
          <t xml:space="preserve">
תוספת בגין מסמך מיוחד שהועבר ללילך
31076 ₪. החזר 90%</t>
        </r>
      </text>
    </comment>
    <comment ref="F243" authorId="1" shapeId="0" xr:uid="{00000000-0006-0000-1400-000009000000}">
      <text>
        <r>
          <rPr>
            <b/>
            <sz val="9"/>
            <color indexed="81"/>
            <rFont val="Tahoma"/>
            <family val="2"/>
          </rPr>
          <t>מנחם נויפלד - מנהל מח' חשבונות:</t>
        </r>
        <r>
          <rPr>
            <sz val="9"/>
            <color indexed="81"/>
            <rFont val="Tahoma"/>
            <family val="2"/>
          </rPr>
          <t xml:space="preserve">
תוספת של 26770 ₪.
החזר 90%</t>
        </r>
      </text>
    </comment>
    <comment ref="E245" authorId="0" shapeId="0" xr:uid="{00000000-0006-0000-1400-00000A000000}">
      <text>
        <r>
          <rPr>
            <b/>
            <sz val="8"/>
            <color indexed="81"/>
            <rFont val="Tahoma"/>
            <family val="2"/>
          </rPr>
          <t>menahemn:</t>
        </r>
        <r>
          <rPr>
            <sz val="8"/>
            <color indexed="81"/>
            <rFont val="Tahoma"/>
            <family val="2"/>
          </rPr>
          <t xml:space="preserve">
960 שעות שנתיות</t>
        </r>
      </text>
    </comment>
    <comment ref="E331" authorId="0" shapeId="0" xr:uid="{00000000-0006-0000-1400-00000B000000}">
      <text>
        <r>
          <rPr>
            <b/>
            <sz val="8"/>
            <color indexed="81"/>
            <rFont val="Tahoma"/>
            <family val="2"/>
          </rPr>
          <t>menahemn:</t>
        </r>
        <r>
          <rPr>
            <sz val="8"/>
            <color indexed="81"/>
            <rFont val="Tahoma"/>
            <family val="2"/>
          </rPr>
          <t xml:space="preserve">
שעות
</t>
        </r>
      </text>
    </comment>
    <comment ref="E336" authorId="0" shapeId="0" xr:uid="{00000000-0006-0000-1400-00000C000000}">
      <text>
        <r>
          <rPr>
            <b/>
            <sz val="8"/>
            <color indexed="81"/>
            <rFont val="Tahoma"/>
            <family val="2"/>
          </rPr>
          <t>menahemn:</t>
        </r>
        <r>
          <rPr>
            <sz val="8"/>
            <color indexed="81"/>
            <rFont val="Tahoma"/>
            <family val="2"/>
          </rPr>
          <t xml:space="preserve">
שעות לשנה</t>
        </r>
      </text>
    </comment>
  </commentList>
</comments>
</file>

<file path=xl/sharedStrings.xml><?xml version="1.0" encoding="utf-8"?>
<sst xmlns="http://schemas.openxmlformats.org/spreadsheetml/2006/main" count="12759" uniqueCount="2199">
  <si>
    <t>אגרת חידוש חיבור-סוג ש</t>
  </si>
  <si>
    <t>אגרות שרות 16</t>
  </si>
  <si>
    <t>השתת' בעלים-הנחת צנורות</t>
  </si>
  <si>
    <t>השתתפות בשכר דירה עמידר</t>
  </si>
  <si>
    <t>הכנסות ממוסדות מ.א.לקש</t>
  </si>
  <si>
    <t>שכר דירה שוק</t>
  </si>
  <si>
    <t>נכסים-מכרזים</t>
  </si>
  <si>
    <t>חניה פיגורים</t>
  </si>
  <si>
    <t>אגרת ביוב</t>
  </si>
  <si>
    <t>ביוב-מוסדות_עיריה</t>
  </si>
  <si>
    <t>ביטול יתרות ספקים ועובדים</t>
  </si>
  <si>
    <t>תקבולים בילתי רגילים</t>
  </si>
  <si>
    <t>החזרים בלתי רגילים</t>
  </si>
  <si>
    <t>הוצ.רכב-ליסינג</t>
  </si>
  <si>
    <t>הנהלה-דלק ושמנים 21760</t>
  </si>
  <si>
    <t>שברולט רה"ע 85-955-12</t>
  </si>
  <si>
    <t>הוצ רכב 75-650-65 לא פ</t>
  </si>
  <si>
    <t xml:space="preserve"> 73-956-72 ליסינג לא בשימוש</t>
  </si>
  <si>
    <t>הוצ.רכב 75-650-65</t>
  </si>
  <si>
    <t>מבקר-כיבודים</t>
  </si>
  <si>
    <t>מזכירות-מיכון ועיבוד נ</t>
  </si>
  <si>
    <t>תדמיתן</t>
  </si>
  <si>
    <t>הוצאות רכב18-496-76 ליס</t>
  </si>
  <si>
    <t>משכורת בחירות</t>
  </si>
  <si>
    <t>הפרשה לדמי הבראה ומענק</t>
  </si>
  <si>
    <t>גזברות-אחזקת מבנים</t>
  </si>
  <si>
    <t>גזברות-דאר</t>
  </si>
  <si>
    <t>הנה"ח-משכורת ושכר משולב</t>
  </si>
  <si>
    <t>הנהח"ש-הוצ' אחרות</t>
  </si>
  <si>
    <t>משכורת - הוצ' כיבוד</t>
  </si>
  <si>
    <t>גביה-הוצ' דואר</t>
  </si>
  <si>
    <t>מילגם-ציוד משרדי</t>
  </si>
  <si>
    <t>גביה-עבודות קבלניות</t>
  </si>
  <si>
    <t>ריבית ספקים</t>
  </si>
  <si>
    <t>פרעון ריבית הלו.ביוב ו</t>
  </si>
  <si>
    <t>פרעון הצמדה הלו.ביוב ו</t>
  </si>
  <si>
    <t>תברואה-מיכון ועיבוד נתונים</t>
  </si>
  <si>
    <t>נגרר 63611-15</t>
  </si>
  <si>
    <t>משכורת-איסוף אשפה ושכר משולב</t>
  </si>
  <si>
    <t>עיר ללא אלימות-פר 12</t>
  </si>
  <si>
    <t>הוצ' קטנוע 51-190-13</t>
  </si>
  <si>
    <t>הוצ' קטנוע 51-188-13</t>
  </si>
  <si>
    <t>הוצ' קטנוע 51-192-13</t>
  </si>
  <si>
    <t>תברואה-דלק ושמנים 1700</t>
  </si>
  <si>
    <t>תברואה-דלק ושמנים 7600</t>
  </si>
  <si>
    <t>תברואה-דלק ושמנים 7400</t>
  </si>
  <si>
    <t>משאית דחסן 84-594-52</t>
  </si>
  <si>
    <t>משאית דחסן 84-637-52</t>
  </si>
  <si>
    <t>יונדאי 62-332-12 ליסינג</t>
  </si>
  <si>
    <t>השתתפות עצמית</t>
  </si>
  <si>
    <t>מ.לנפגעי תקיפה מינית</t>
  </si>
  <si>
    <t>גינון ע"ע</t>
  </si>
  <si>
    <t>תקבולים
אחרים</t>
  </si>
  <si>
    <t>תקציב 2015</t>
  </si>
  <si>
    <t>אכיפה חוקי עזר שונים</t>
  </si>
  <si>
    <t>תיגבור שוטרים בחוף</t>
  </si>
  <si>
    <t>פרויקט החופש הגדול</t>
  </si>
  <si>
    <t>מ.חירום אקסטרניים</t>
  </si>
  <si>
    <t>בדיקות פסיכולוגיות</t>
  </si>
  <si>
    <t>נופשון לזקן</t>
  </si>
  <si>
    <t>מיגון וציוד ביתי</t>
  </si>
  <si>
    <t>סידור במעונות-מש"ה</t>
  </si>
  <si>
    <t>מעון ממשלתי -מש"ה</t>
  </si>
  <si>
    <t>מ.יום אימוני-מש"ה</t>
  </si>
  <si>
    <t>מ.יום טיפולי-מש"ה</t>
  </si>
  <si>
    <t>הסעות למ.יום-מש"ה</t>
  </si>
  <si>
    <t>מועדון חברתי-מש"ה</t>
  </si>
  <si>
    <t>בוגרים עיוורים בקהיל</t>
  </si>
  <si>
    <t>ילדים עיוורים בקהילה</t>
  </si>
  <si>
    <t>פרוייקט וינגייט</t>
  </si>
  <si>
    <t>ס.במעונות-מש"ה עולים</t>
  </si>
  <si>
    <t>הרשות לפיתוח הגליל</t>
  </si>
  <si>
    <t>סה"כ פרק 1.57</t>
  </si>
  <si>
    <t>הזנה עובדים</t>
  </si>
  <si>
    <t>הזנת עובדים</t>
  </si>
  <si>
    <t>ניקיון שכונות</t>
  </si>
  <si>
    <t>משכורות-ושכר משולב פרויקט עכו עתיקה</t>
  </si>
  <si>
    <t>הג"א מרחב</t>
  </si>
  <si>
    <t>תמיכות מוסיקה וזמר</t>
  </si>
  <si>
    <t>חפ"ק תאורה 90-840-75</t>
  </si>
  <si>
    <t>הוצ אופנוע 13-549-12</t>
  </si>
  <si>
    <t>הוצ אופנוע 13-541-12</t>
  </si>
  <si>
    <t>פעילויות תרבותיות</t>
  </si>
  <si>
    <t>משכורת ושכר משולב פרויקט ספריה ניידת</t>
  </si>
  <si>
    <t>תזמורת השתתפות בתקציב בלתי רגיל</t>
  </si>
  <si>
    <t>מ.חירום אקסטניים</t>
  </si>
  <si>
    <t>מעון ממשלתי-מש"ה</t>
  </si>
  <si>
    <t>שירותים תומכים-מש"ה</t>
  </si>
  <si>
    <t>חלופה למ.יום שיקומי</t>
  </si>
  <si>
    <t>התמכרויות -חוץ ביתי</t>
  </si>
  <si>
    <t>ליסינג 67-026-31 כללי</t>
  </si>
  <si>
    <t>ביצוע 2014</t>
  </si>
  <si>
    <t>השתתפות ממשלה במיחשוב</t>
  </si>
  <si>
    <t>סיוע בהוצאות אבל</t>
  </si>
  <si>
    <t>סביבה תומכת</t>
  </si>
  <si>
    <t>מעש"ם</t>
  </si>
  <si>
    <t>התמכרויות-חוץ ביתי</t>
  </si>
  <si>
    <t>הכנסות ממשרד המדע</t>
  </si>
  <si>
    <t>הכנסות מותנות</t>
  </si>
  <si>
    <t>הוצ.רכב   81-896-53 ליסינג</t>
  </si>
  <si>
    <t>הוצ.רכב 81-898-53 ליסינג</t>
  </si>
  <si>
    <t>הוצ.רכב 81-895-53 ליסינג</t>
  </si>
  <si>
    <t>הוצ.רכב 81-897-53 ליסינג</t>
  </si>
  <si>
    <t>*****הוצ' קטנוע 49-471-13</t>
  </si>
  <si>
    <t>משאית דחסן 84-851-52</t>
  </si>
  <si>
    <t>***הוצ' קטנוע 51-190-13</t>
  </si>
  <si>
    <t>***תפעול 47-716-70</t>
  </si>
  <si>
    <t>***הוצ' קטנוע 51-188-13</t>
  </si>
  <si>
    <t>***הוצ' קטנוע 51-192-13</t>
  </si>
  <si>
    <t>***הוצ' רכב 53-024-78</t>
  </si>
  <si>
    <t>***טרקטור 5847868</t>
  </si>
  <si>
    <t>***תברואה-66-735-00</t>
  </si>
  <si>
    <t>***משאית 63-937-68</t>
  </si>
  <si>
    <t>***קטנוע 13-537-12</t>
  </si>
  <si>
    <t>אופנוע סאן יאנג 97-393-53</t>
  </si>
  <si>
    <t>אופנוע 13-539-12</t>
  </si>
  <si>
    <t>***הוצ.רכב 71-712-75 ליסינג</t>
  </si>
  <si>
    <t>****אופנוע 51-425-13</t>
  </si>
  <si>
    <t>רכב 28-860-31 - ליסינג</t>
  </si>
  <si>
    <t>***שפע 12-528-51</t>
  </si>
  <si>
    <t>תמיכות אמנויות הבמה</t>
  </si>
  <si>
    <t>***הוצ רכב 48-285-70</t>
  </si>
  <si>
    <t>***הוצ' רכב 6359762</t>
  </si>
  <si>
    <t>חפ"ק חרום 90-636-74</t>
  </si>
  <si>
    <t>9183175-נגרר חילוץ</t>
  </si>
  <si>
    <t>רכב 27-446-30 - ליסינג</t>
  </si>
  <si>
    <t>משכורת מרכז לגיל הרך</t>
  </si>
  <si>
    <t>פרויקט החופש ה גדול</t>
  </si>
  <si>
    <t>שכר מנהלת פרויקט נוער</t>
  </si>
  <si>
    <t>***הוצ' קטנוע 1081865</t>
  </si>
  <si>
    <t>הוצ רכב 32-737-31 ליסינג</t>
  </si>
  <si>
    <t>רכב כללי 12-528-51</t>
  </si>
  <si>
    <t>השתתפות בקרן מתוקצבת למתן הלוואות</t>
  </si>
  <si>
    <t>רכב</t>
  </si>
  <si>
    <t>עיר ללא אלימות-פר 17.1</t>
  </si>
  <si>
    <t>אבטחת נבחרי ציבור</t>
  </si>
  <si>
    <t>קנית שרותים ממוסדות</t>
  </si>
  <si>
    <t>כיסוי הוצאות לשעת חרום</t>
  </si>
  <si>
    <t>הוצאות רכב 18-495-76ליס</t>
  </si>
  <si>
    <t>הוצ' קטנוע 51-425-13</t>
  </si>
  <si>
    <t>משכורת-ושכר משולבים</t>
  </si>
  <si>
    <t>עובדי קבלן</t>
  </si>
  <si>
    <t>רכב 56-238-11 ליסינג</t>
  </si>
  <si>
    <t>בטיחות בדרכים-מש' התחבורה</t>
  </si>
  <si>
    <t>גינון ביה"ס וגני ילדים</t>
  </si>
  <si>
    <t>עבודות קבלניות טיפול בעצים</t>
  </si>
  <si>
    <t>גנים-ציוד יסודי-טנדר ח</t>
  </si>
  <si>
    <t>פעולות תרבותית אומנותית</t>
  </si>
  <si>
    <t>נגרר 6215515</t>
  </si>
  <si>
    <t>עיר ללא אלימות-פר 6,5,</t>
  </si>
  <si>
    <t>מוקד עירוני-חשמל ומים</t>
  </si>
  <si>
    <t>אופנוע 1510164 למוקד</t>
  </si>
  <si>
    <t>השתתפות חברה כלכלית</t>
  </si>
  <si>
    <t>פיקוח אירוח וכיבוד</t>
  </si>
  <si>
    <t>פיקוח-הוצ' אחרות</t>
  </si>
  <si>
    <t>פיקוח משכורת</t>
  </si>
  <si>
    <t>אופנוע 1081865 *****</t>
  </si>
  <si>
    <t>הפרשה דמי הבראה ומענק</t>
  </si>
  <si>
    <t>התייעלות בכח אדם</t>
  </si>
  <si>
    <t>הפרשה להבראה ומענק יוב</t>
  </si>
  <si>
    <t>פנימיות יום-גנ"י-שכר</t>
  </si>
  <si>
    <t>עבודות קבלניות שרתים</t>
  </si>
  <si>
    <t>משכורת טכנאי מחשוב בתי ספר</t>
  </si>
  <si>
    <t>משכ' מורים - מ.ערבי</t>
  </si>
  <si>
    <t>השתתפות מרכז קהילתי יה</t>
  </si>
  <si>
    <t>התייעלות בפעולות חינוך</t>
  </si>
  <si>
    <t>משכ' סייעות - ר.חינוכי</t>
  </si>
  <si>
    <t>משכורת רווחה חינוכית</t>
  </si>
  <si>
    <t>מזון למועדוניות</t>
  </si>
  <si>
    <t>עיר ללא אלימות-פר 10,9</t>
  </si>
  <si>
    <t>משכורת פרויקט עיר חינו</t>
  </si>
  <si>
    <t>פעולות חינוך-הסוכנות ה</t>
  </si>
  <si>
    <t>הוצאות סולר לגרעין נחל</t>
  </si>
  <si>
    <t>יוזמות פדגוגיות</t>
  </si>
  <si>
    <t>אירוע פתיחה פסטיבל</t>
  </si>
  <si>
    <t>ספריה-חומרים</t>
  </si>
  <si>
    <t>מרכז-פיס משכורת</t>
  </si>
  <si>
    <t>רשות ספורט  עירונית</t>
  </si>
  <si>
    <t>פעילות חברתית</t>
  </si>
  <si>
    <t>פרויקט בגרויות</t>
  </si>
  <si>
    <t>הצטיידות סאריה</t>
  </si>
  <si>
    <t>תיירות-בולים,טלפון,מבר</t>
  </si>
  <si>
    <t>מרכז אזורי לקשיש-השתתפ</t>
  </si>
  <si>
    <t>רווחה-אש"ל ונסיעות</t>
  </si>
  <si>
    <t>דואר</t>
  </si>
  <si>
    <t>עיר ללא אלימות-פר 3,2,</t>
  </si>
  <si>
    <t>הפעלת חוק סדרי-דין</t>
  </si>
  <si>
    <t>טיפ.במשפחה-פר אופק</t>
  </si>
  <si>
    <t>טיפ.בילד בקהילה-אופק</t>
  </si>
  <si>
    <t>הוצאה נוספת -בפנימיות</t>
  </si>
  <si>
    <t>טפול במשפחות אומנה</t>
  </si>
  <si>
    <t>ניסוי "קהילה 2000"</t>
  </si>
  <si>
    <t>החזקת זקנים במוסדות</t>
  </si>
  <si>
    <t>מרכזי ועדות-חוק סעוד</t>
  </si>
  <si>
    <t>פרוייקט ניסויי</t>
  </si>
  <si>
    <t>מסגרת יום ארוך</t>
  </si>
  <si>
    <t>דמי לווי לעיוור</t>
  </si>
  <si>
    <t>מפעלי שקום צבוריים</t>
  </si>
  <si>
    <t>טיפ.בנשים ונער-אופק</t>
  </si>
  <si>
    <t>סמים-טיפ.בקהילה-אופק</t>
  </si>
  <si>
    <t>מפת'ן ממשלתי</t>
  </si>
  <si>
    <t>שכר עובדי מ.נ.ע.</t>
  </si>
  <si>
    <t>מרכזים קהילתיים</t>
  </si>
  <si>
    <t>עבודה קהילת-פר' אופק</t>
  </si>
  <si>
    <t>פיתוח קהילתי אסטרטגי</t>
  </si>
  <si>
    <t>שיקום שכונות פעולות</t>
  </si>
  <si>
    <t>עובדי שכונה עולים</t>
  </si>
  <si>
    <t>נכים בפנימיות-עולים</t>
  </si>
  <si>
    <t>אבח.ושקום נכים עולים</t>
  </si>
  <si>
    <t>הוצאות תקשורת</t>
  </si>
  <si>
    <t>מ.ב.ת-הוצ' אחרות</t>
  </si>
  <si>
    <t>רכישת כלים ומכשירים וצ</t>
  </si>
  <si>
    <t>רכישת מים</t>
  </si>
  <si>
    <t>היטל צריכת מים עודפת</t>
  </si>
  <si>
    <t>שכר עבודה_בית העירייה</t>
  </si>
  <si>
    <t>קניין ביטוח</t>
  </si>
  <si>
    <t>בית העיריה-שונות</t>
  </si>
  <si>
    <t>הוצ' קטנוע 52-044-13</t>
  </si>
  <si>
    <t>מתאם סמים</t>
  </si>
  <si>
    <t>מתאם מיכון- אוטומציה-</t>
  </si>
  <si>
    <t>רכב-כיבודים</t>
  </si>
  <si>
    <t>כללי-דלק ושמנים</t>
  </si>
  <si>
    <t>כללי-דלק ושמנים 968582</t>
  </si>
  <si>
    <t>מחפרון27550-</t>
  </si>
  <si>
    <t>מחפרון 27-55-05 מח' רכב</t>
  </si>
  <si>
    <t>נגרר זכ"א</t>
  </si>
  <si>
    <t>תקונים ושיפוצים תחנת ש</t>
  </si>
  <si>
    <t>בטוח</t>
  </si>
  <si>
    <t>ביוב-רכישת חומרים</t>
  </si>
  <si>
    <t>הפעלה מכון טיהור</t>
  </si>
  <si>
    <t>מ.ב.ת.-דלק ושמנים 6657</t>
  </si>
  <si>
    <t>מי עכו 95-754-61</t>
  </si>
  <si>
    <t>נגרר 6197315</t>
  </si>
  <si>
    <t>קטנוע 36-593-64</t>
  </si>
  <si>
    <t>פנסיונרים אמי"ת</t>
  </si>
  <si>
    <t>סיוע מיוחד לצפון</t>
  </si>
  <si>
    <t>תשלומים בלתי רגילים</t>
  </si>
  <si>
    <t>מענק לכיסוי גרעון</t>
  </si>
  <si>
    <t>הוצאות לכיסוי גרעון</t>
  </si>
  <si>
    <t>הוצאה מותנה</t>
  </si>
  <si>
    <t>הוצאות מותנות</t>
  </si>
  <si>
    <t>מענק לאיזון</t>
  </si>
  <si>
    <t>עיר ללא אלימות פר4,13-</t>
  </si>
  <si>
    <t>דוברות מיכון</t>
  </si>
  <si>
    <t>סיפריה שכ"ע</t>
  </si>
  <si>
    <t>שכר דירה מוגן דמי הרשאה</t>
  </si>
  <si>
    <t>לשכה שכ"ע</t>
  </si>
  <si>
    <t>יועמ"ש שכ"ע</t>
  </si>
  <si>
    <t>תברואה-שכ"ע</t>
  </si>
  <si>
    <t>שפ"ע שכ"ע</t>
  </si>
  <si>
    <t>מוקד עירוני שכ"ע</t>
  </si>
  <si>
    <t>מרכז-פיס שכ"ע</t>
  </si>
  <si>
    <t>רשות ספורט שכ"ע</t>
  </si>
  <si>
    <t>תיקי גביה עבודות קבלניות</t>
  </si>
  <si>
    <t>תיקי הנדסה עבודות קבלניות</t>
  </si>
  <si>
    <t>תיקי כח אדם עבודות קבלניות</t>
  </si>
  <si>
    <t>משאית דחסן 84-674-52</t>
  </si>
  <si>
    <t>משאית דחסן 84-750-52</t>
  </si>
  <si>
    <t>וטרינר-מיכון</t>
  </si>
  <si>
    <t>עבודות קבלניות שוטרים חופים</t>
  </si>
  <si>
    <t>הוצ' קטנוע 53-024-78</t>
  </si>
  <si>
    <t>ביצוע 2013</t>
  </si>
  <si>
    <t>***הוצ' רכב 80-706-50</t>
  </si>
  <si>
    <t>הוצאה מותנית</t>
  </si>
  <si>
    <t>הכנסה מותנית</t>
  </si>
  <si>
    <t>הסעות בית עלמין</t>
  </si>
  <si>
    <t>כרטיס הנה"ח</t>
  </si>
  <si>
    <t>תאור</t>
  </si>
  <si>
    <t xml:space="preserve">[1]    </t>
  </si>
  <si>
    <t>תקבולים</t>
  </si>
  <si>
    <t xml:space="preserve">[2]    </t>
  </si>
  <si>
    <t>הכנסות לפני הנחות ארנונה וכיסוי גרעון נצבר</t>
  </si>
  <si>
    <t>[3]     10</t>
  </si>
  <si>
    <t>ארנונה כללית</t>
  </si>
  <si>
    <t>ארנונה כללית פיגורים</t>
  </si>
  <si>
    <t>ארנונה השתתפות מטה אשר</t>
  </si>
  <si>
    <t>ארנונה  מרפאל</t>
  </si>
  <si>
    <t>סה"כ</t>
  </si>
  <si>
    <t>[3]     30</t>
  </si>
  <si>
    <t>מפעל המים</t>
  </si>
  <si>
    <t>אגרת מים פיגורים</t>
  </si>
  <si>
    <t xml:space="preserve">[3]    </t>
  </si>
  <si>
    <t>[4]     40</t>
  </si>
  <si>
    <t>עצמיות חינוך</t>
  </si>
  <si>
    <t>חדר מלח מרכז לגיל הרך</t>
  </si>
  <si>
    <t>הגיל הרך-יעדים לצפון</t>
  </si>
  <si>
    <t>פנימיות יום-גנ"י</t>
  </si>
  <si>
    <t>הכנסות מהורים מילת</t>
  </si>
  <si>
    <t>השתתפות אשלים</t>
  </si>
  <si>
    <t>ילדי חוץ</t>
  </si>
  <si>
    <t>השתתפות אורט מקיף ערבי</t>
  </si>
  <si>
    <t>השתתפות אורט</t>
  </si>
  <si>
    <t>השתתפות אמית</t>
  </si>
  <si>
    <t>הכ.-בטוח תאונות אישיות</t>
  </si>
  <si>
    <t>מרכז נוער ישובי/שכונתי התוכנית הלאומית-מש.חינוך</t>
  </si>
  <si>
    <t>[4]     50</t>
  </si>
  <si>
    <t>עצמיות רווחה</t>
  </si>
  <si>
    <t>השתתפות שכר</t>
  </si>
  <si>
    <t>שרותים תומכים למפגר</t>
  </si>
  <si>
    <t>השתת' הורים אחזקה</t>
  </si>
  <si>
    <t>אחזקת זקנים במעונות</t>
  </si>
  <si>
    <t>עזרה ביתית</t>
  </si>
  <si>
    <t>מסגרת יומיות לזקן</t>
  </si>
  <si>
    <t>מ.יום שיקומי לנכים</t>
  </si>
  <si>
    <t>חוסן העמותה לילדים בסיכון</t>
  </si>
  <si>
    <t>[4]     60</t>
  </si>
  <si>
    <t>יתר עצמיות</t>
  </si>
  <si>
    <t>תעודות ואישורים</t>
  </si>
  <si>
    <t>אגרות רשיונות לשלטים</t>
  </si>
  <si>
    <t>מודעות על לוחות</t>
  </si>
  <si>
    <t>הוצ.רישום ועיקול סוג ש</t>
  </si>
  <si>
    <t>הכנסות גביה עיקול בנק_</t>
  </si>
  <si>
    <t>הכנסות מימון</t>
  </si>
  <si>
    <t>מכרזים-תברואה</t>
  </si>
  <si>
    <t>אגרת נקוי חצרות</t>
  </si>
  <si>
    <t>אג.נקוי חצרות פיגורים</t>
  </si>
  <si>
    <t>למלאכה ותעשיה-רישוי עס</t>
  </si>
  <si>
    <t>דמי בדיקת בשר קפוא</t>
  </si>
  <si>
    <t>דמי חיסון אגרות ושבבים</t>
  </si>
  <si>
    <t>קנסות וטרינר109-</t>
  </si>
  <si>
    <t>שמירה בטחונית</t>
  </si>
  <si>
    <t>אג.שמירה  פיגור</t>
  </si>
  <si>
    <t>אגרת שמירה</t>
  </si>
  <si>
    <t>מתן מידע</t>
  </si>
  <si>
    <t>אגרת רשיונות בניה</t>
  </si>
  <si>
    <t>היטל השבחה_ס.ש757.</t>
  </si>
  <si>
    <t>אגרת מבנים מסוכנים</t>
  </si>
  <si>
    <t>יתרת כבישים ומדרכות</t>
  </si>
  <si>
    <t>דמי שמוש במדרכה</t>
  </si>
  <si>
    <t>הנדסה-מכרזים</t>
  </si>
  <si>
    <t>שירותי מוקד</t>
  </si>
  <si>
    <t>הכנסות שונות</t>
  </si>
  <si>
    <t>יתרת אג.שימור רחובות8-</t>
  </si>
  <si>
    <t>הכנסות משפטיות</t>
  </si>
  <si>
    <t>הכנסות מכרטיסים</t>
  </si>
  <si>
    <t>חסויות</t>
  </si>
  <si>
    <t>מפעל הפיס פסטיבל עכו</t>
  </si>
  <si>
    <t>רש.לפיתוח הגליל פסטיבל עכו</t>
  </si>
  <si>
    <t>הכנסות מספריות</t>
  </si>
  <si>
    <t>דמי שירות</t>
  </si>
  <si>
    <t>סדרת צלילי מוצ"ש</t>
  </si>
  <si>
    <t>קרן מלגות פרידמן ומגבית קנדה</t>
  </si>
  <si>
    <t>קליטה-הכנסות</t>
  </si>
  <si>
    <t>יתרת אגרת מד מים סוג ש</t>
  </si>
  <si>
    <t>יתרת שכ"ד לא מוגן39-</t>
  </si>
  <si>
    <t>שכ"ד לא מוגן</t>
  </si>
  <si>
    <t>שכר דירה</t>
  </si>
  <si>
    <t>שכירות גגות לחשמל</t>
  </si>
  <si>
    <t>יתרת שכ"ד מוגן38-</t>
  </si>
  <si>
    <t>שכר דירה מוגן</t>
  </si>
  <si>
    <t>אגרת חניית מכוניות</t>
  </si>
  <si>
    <t>קנסות חניה</t>
  </si>
  <si>
    <t>הכנסות מב.ק.</t>
  </si>
  <si>
    <t>הכנסות גביה חניה עיקול</t>
  </si>
  <si>
    <t>הכנסה ממדחנים</t>
  </si>
  <si>
    <t>הכנסה מאיזי פארק</t>
  </si>
  <si>
    <t>חניית מוניות</t>
  </si>
  <si>
    <t>אגרת ביוב-פיגורים</t>
  </si>
  <si>
    <t>היטל ביוב</t>
  </si>
  <si>
    <t>יתרת היטל ביוב81-</t>
  </si>
  <si>
    <t>[4]     70</t>
  </si>
  <si>
    <t>תקבולים ממשרד החינוך</t>
  </si>
  <si>
    <t>גנ"י קדם חובה</t>
  </si>
  <si>
    <t>שכר גננות עובדות מדינה לא עודפות</t>
  </si>
  <si>
    <t>פ.העשרה חנ"מ גנ"י</t>
  </si>
  <si>
    <t>הכנסות מילת</t>
  </si>
  <si>
    <t>תוכניות חינוכיות-התוכנית הלאומית שמיד</t>
  </si>
  <si>
    <t>מזכירים יסודי ח.רגיל</t>
  </si>
  <si>
    <t>שרתים חינוך יסודי רגיל</t>
  </si>
  <si>
    <t>סייעות טיפוליות</t>
  </si>
  <si>
    <t>סל תלמיד לעולה יסודי</t>
  </si>
  <si>
    <t>דמי שכפול יסודי</t>
  </si>
  <si>
    <t>שיפוצי קיצ מוס"ח</t>
  </si>
  <si>
    <t>הזנת יוח'א</t>
  </si>
  <si>
    <t>מזכירים יסודי ח.מיוחד</t>
  </si>
  <si>
    <t>שרתים יסודי חנ"מ</t>
  </si>
  <si>
    <t>סייעות כיתתיות+יוח"א ח</t>
  </si>
  <si>
    <t>דמי שכפול חינוך מיוחד</t>
  </si>
  <si>
    <t>פעולות העשרה ח.מיוחד</t>
  </si>
  <si>
    <t>מרכז ימי</t>
  </si>
  <si>
    <t>מזכירים חוות ומרכזים</t>
  </si>
  <si>
    <t>שרתים חוות ומרכזים</t>
  </si>
  <si>
    <t>קב"ט</t>
  </si>
  <si>
    <t>משרדי ממשלה-פסג"ה</t>
  </si>
  <si>
    <t>השתתפות הממשלה בשפ"י</t>
  </si>
  <si>
    <t>הדרכת פסיכולוגים</t>
  </si>
  <si>
    <t>השתתפות משרד החנוך</t>
  </si>
  <si>
    <t>מועדוניות_וקב"ס</t>
  </si>
  <si>
    <t>קב"סים</t>
  </si>
  <si>
    <t>מגשרת עולים</t>
  </si>
  <si>
    <t>השתת.ממשלה בהסעות</t>
  </si>
  <si>
    <t>ליווי הסעות חנ"מ</t>
  </si>
  <si>
    <t>מתי"א -מזכירים</t>
  </si>
  <si>
    <t>מתי"א -שרתים</t>
  </si>
  <si>
    <t>מתי"א אגרת שכפול</t>
  </si>
  <si>
    <t>השתת.מינהל חברה ונוער</t>
  </si>
  <si>
    <t>קרן רש"י (השתתפות במנ"ע)</t>
  </si>
  <si>
    <t>יחידה לקידום נוער</t>
  </si>
  <si>
    <t>טיפול בפרט</t>
  </si>
  <si>
    <t>[4]     80</t>
  </si>
  <si>
    <t>תקבולים ממשרד הרווחה</t>
  </si>
  <si>
    <t>שכר עובדי לשכות</t>
  </si>
  <si>
    <t>פעולות ארגוניות</t>
  </si>
  <si>
    <t>כ"א לחינוך המיוחד</t>
  </si>
  <si>
    <t>מחשוב מחלקות רווחה</t>
  </si>
  <si>
    <t>בטחון עובדים-מאבטחים</t>
  </si>
  <si>
    <t>משפחות במצוקה בקהילה</t>
  </si>
  <si>
    <t>סיוע למשפחות עם ילדים</t>
  </si>
  <si>
    <t>מס. ארציות לדרי רחוב</t>
  </si>
  <si>
    <t>מקלטים לנשים מוכות</t>
  </si>
  <si>
    <t>תחנות לטיפול במשפחה</t>
  </si>
  <si>
    <t>מרכזי טיפול באלימות</t>
  </si>
  <si>
    <t>ת. לאומית פרט ומשפחה</t>
  </si>
  <si>
    <t>טיפול במשפחות אומנה</t>
  </si>
  <si>
    <t>טיפול בילד בקהילה</t>
  </si>
  <si>
    <t>ת.לאומית-ילד ונוער</t>
  </si>
  <si>
    <t>מועדוניות משותפות</t>
  </si>
  <si>
    <t>יצירת קשר הורים-ילדים</t>
  </si>
  <si>
    <t>טיפול בפגיעת מיניות</t>
  </si>
  <si>
    <t>אחזקת ילדים בפנימיות</t>
  </si>
  <si>
    <t>תכנית עם הפנים לקהילה</t>
  </si>
  <si>
    <t>ילדים במעונות יום</t>
  </si>
  <si>
    <t>שירותים לניצולי שואה</t>
  </si>
  <si>
    <t>טיפול בזקן בקהילה</t>
  </si>
  <si>
    <t>מרכזי ועדות -חוק סיעוד</t>
  </si>
  <si>
    <t>מועדונים לזקנים</t>
  </si>
  <si>
    <t>שכונה תומכת</t>
  </si>
  <si>
    <t>מסגרות יומיות לזקן</t>
  </si>
  <si>
    <t>מועדונים מועשרים</t>
  </si>
  <si>
    <t>סדור מפגרים במוסדות</t>
  </si>
  <si>
    <t>מפגרים במוסד ממשלתי</t>
  </si>
  <si>
    <t>אחזקת אוטיסטים במסגר</t>
  </si>
  <si>
    <t>טיפול בהורים ובילדיה</t>
  </si>
  <si>
    <t>משפחות אומנה למפגר</t>
  </si>
  <si>
    <t>מ.יום שיקומי לאוטיסט</t>
  </si>
  <si>
    <t>מפגרים במעון אמוני</t>
  </si>
  <si>
    <t>מפגרים במעון טיפולי</t>
  </si>
  <si>
    <t>מעשיים</t>
  </si>
  <si>
    <t>מ.יום שיקומי למפגר</t>
  </si>
  <si>
    <t>נופשונים למפגר</t>
  </si>
  <si>
    <t>מועדונים חברת.למפגר</t>
  </si>
  <si>
    <t>הסעות למ.יום למפגר</t>
  </si>
  <si>
    <t>ילדים עוורים במוסדות</t>
  </si>
  <si>
    <t>הדרכת עוור ובני ביתו</t>
  </si>
  <si>
    <t>שיקום העוור בקהילה</t>
  </si>
  <si>
    <t>מפעלי שיקום לעוור</t>
  </si>
  <si>
    <t>אחזקת נכים בפנימיות</t>
  </si>
  <si>
    <t>מס.יום לילד המוגבל</t>
  </si>
  <si>
    <t>תעסוקה מוגנת למוגבל</t>
  </si>
  <si>
    <t>תוכניות ילדים_החריגים</t>
  </si>
  <si>
    <t>הסעות למ.יום שיקומי</t>
  </si>
  <si>
    <t>ליווי למ.יום שיקומי</t>
  </si>
  <si>
    <t>נופשונים להבראה</t>
  </si>
  <si>
    <t>תכנית מעבר לחרשים</t>
  </si>
  <si>
    <t>תעסוקה נתמכת לנכים</t>
  </si>
  <si>
    <t>שיקום נכים בקהילה</t>
  </si>
  <si>
    <t>מרכזי איבחון ושיקום</t>
  </si>
  <si>
    <t>נכים קשים בקהילה</t>
  </si>
  <si>
    <t>מועדונים לעיוור</t>
  </si>
  <si>
    <t>קהילה תומכת לנכים</t>
  </si>
  <si>
    <t>דמי תקשורת לחירשים</t>
  </si>
  <si>
    <t>טפול בנוער ובצעירים</t>
  </si>
  <si>
    <t>טפול בנערות במצוקה</t>
  </si>
  <si>
    <t>בתים חמים לנערות</t>
  </si>
  <si>
    <t>תוכנית לאומית נוער וצעירים</t>
  </si>
  <si>
    <t>מקלטים לנערות</t>
  </si>
  <si>
    <t>בדיקות למשתמשים בסמים</t>
  </si>
  <si>
    <t>סמים-טיפול בקהילה</t>
  </si>
  <si>
    <t>טפול באלכוהוליסטים</t>
  </si>
  <si>
    <t>מ. יום לנוער-סמים</t>
  </si>
  <si>
    <t>מפת"ן מקומי אחזקה</t>
  </si>
  <si>
    <t>פעול.משלימות למפתן.</t>
  </si>
  <si>
    <t>טיפול בנפגעי סמים-פרויקט</t>
  </si>
  <si>
    <t>ת.מניעת אלימות במפתן</t>
  </si>
  <si>
    <t>עבודה קהילתית</t>
  </si>
  <si>
    <t>התנדבות-פעולות</t>
  </si>
  <si>
    <t>לשכות יעוץ לאזרח</t>
  </si>
  <si>
    <t>שיקום שכונות-פעולות</t>
  </si>
  <si>
    <t>מ.יום טפולי-עולים</t>
  </si>
  <si>
    <t>מעונות יום--עולים</t>
  </si>
  <si>
    <t>מעש"ים-עולים</t>
  </si>
  <si>
    <t>מפגר בפנימיה-עולים</t>
  </si>
  <si>
    <t>ילדים בפנימיות -עולים</t>
  </si>
  <si>
    <t>טיפול בזקנים-עולים</t>
  </si>
  <si>
    <t>עובדי שכונה-עולים</t>
  </si>
  <si>
    <t>תוכנית קבוצתית לעולים</t>
  </si>
  <si>
    <t>ילדים במצוקה עולים</t>
  </si>
  <si>
    <t>משפחות עולים במצוקה</t>
  </si>
  <si>
    <t>טיפול בעיוורים עולים</t>
  </si>
  <si>
    <t>[4]     90</t>
  </si>
  <si>
    <t>תקבולים ממשלתיים אחרים</t>
  </si>
  <si>
    <t>השתתפות מש.החקלאות סירוס חתולים</t>
  </si>
  <si>
    <t>השתת.משרד הפנים משא"ז</t>
  </si>
  <si>
    <t>אבטחה מוסדות חינוך</t>
  </si>
  <si>
    <t>משרד התרבות</t>
  </si>
  <si>
    <t>תיירות</t>
  </si>
  <si>
    <t>השתתפות הממשלה לתזמורת</t>
  </si>
  <si>
    <t>הכנסות מסל ספורט</t>
  </si>
  <si>
    <t>[4]     100</t>
  </si>
  <si>
    <t>מענק כללי לאיזון</t>
  </si>
  <si>
    <t>מענק כללי_לאיזון</t>
  </si>
  <si>
    <t>מענקים אחר' למשרד הפנים</t>
  </si>
  <si>
    <t>תקבולים אחרים</t>
  </si>
  <si>
    <t>[2]     120</t>
  </si>
  <si>
    <t>הנחות ארנונה</t>
  </si>
  <si>
    <t>הנחות מסים</t>
  </si>
  <si>
    <t>תשלומים</t>
  </si>
  <si>
    <t>הוצאות לפני הנחות ארנונה</t>
  </si>
  <si>
    <t>הוצאות כלליות</t>
  </si>
  <si>
    <t>[4]     200</t>
  </si>
  <si>
    <t>שכר כללי</t>
  </si>
  <si>
    <t>לשכה-משכורת ושכר משולב</t>
  </si>
  <si>
    <t>נבחרים</t>
  </si>
  <si>
    <t>מבקר-משכורת ושכר משולב</t>
  </si>
  <si>
    <t>מזכירות-משכורת ושכר מש</t>
  </si>
  <si>
    <t>דוברות משכורות</t>
  </si>
  <si>
    <t>מנגנון-משכורת ושכר משולב</t>
  </si>
  <si>
    <t>יועמ"ש-משכורת ושכר משוב</t>
  </si>
  <si>
    <t>גזברות-משכורת ושכר משו</t>
  </si>
  <si>
    <t>שכר-משכורת ושכר משולב</t>
  </si>
  <si>
    <t>גביה-משכורת ושכר משולב</t>
  </si>
  <si>
    <t>תברואה-משכורת ושכר משולב</t>
  </si>
  <si>
    <t>תברואה-משכ' ושכר משולבים</t>
  </si>
  <si>
    <t>משכורת ושכר משולבים</t>
  </si>
  <si>
    <t>משכורת וטרינר</t>
  </si>
  <si>
    <t>משכ.מינהל שמירה ובטחון</t>
  </si>
  <si>
    <t>משכורות שמירה וביטחון</t>
  </si>
  <si>
    <t>משכורת ושכר משולבי</t>
  </si>
  <si>
    <t>הנדסה-משכ' ושכר משולבים</t>
  </si>
  <si>
    <t>הנדסה-משכ'ושכר משולבים</t>
  </si>
  <si>
    <t>משכורת שפ"ע</t>
  </si>
  <si>
    <t>משכורת חוף ארגמן</t>
  </si>
  <si>
    <t>מוקד עירוני-משכורת</t>
  </si>
  <si>
    <t>פיקוח-משכ. זמניים</t>
  </si>
  <si>
    <t>משכורת ושכר משולב</t>
  </si>
  <si>
    <t>שכ"ע יומיים_תזמורת</t>
  </si>
  <si>
    <t>מרכז-פיס</t>
  </si>
  <si>
    <t>משכורת רשות ספורט</t>
  </si>
  <si>
    <t>עליה וקליטה</t>
  </si>
  <si>
    <t>גימלאים</t>
  </si>
  <si>
    <t>פנסיה קרן מקפת</t>
  </si>
  <si>
    <t>פיצויים</t>
  </si>
  <si>
    <t>[4]     210</t>
  </si>
  <si>
    <t>פעולות כלליות</t>
  </si>
  <si>
    <t>לשכה - כיבודים</t>
  </si>
  <si>
    <t>לשכה- נסיעות ואש"ל</t>
  </si>
  <si>
    <t>לשכה- רכישת מתנות</t>
  </si>
  <si>
    <t>הנהלה-השתלמויות</t>
  </si>
  <si>
    <t>לשכה- ספרים ועתונים</t>
  </si>
  <si>
    <t>דמי חבר בארגונים</t>
  </si>
  <si>
    <t>לשכה- הוצ' משרדיות</t>
  </si>
  <si>
    <t>לשכה-הוצ' אחרות</t>
  </si>
  <si>
    <t>קניית שירותים ממוסדות</t>
  </si>
  <si>
    <t>לשכה - הוצ' שונות</t>
  </si>
  <si>
    <t>לשכה - רכישת ציוד יסוד</t>
  </si>
  <si>
    <t>הוצאות עודפות</t>
  </si>
  <si>
    <t>לשכה - הוצ' אחרות</t>
  </si>
  <si>
    <t>שברולט רה"ע 13-904-66</t>
  </si>
  <si>
    <t>ביטוח</t>
  </si>
  <si>
    <t>הוצ.רכב   73-955-72</t>
  </si>
  <si>
    <t>הוצ.רכב 41-311-75</t>
  </si>
  <si>
    <t>מבקר העיריה ביטוח</t>
  </si>
  <si>
    <t>מבקר השתלמויות</t>
  </si>
  <si>
    <t>מבקר- ספרות מקצועית</t>
  </si>
  <si>
    <t>מבקר-דמי חבר בארגונים</t>
  </si>
  <si>
    <t>הוצ רכב מבקר 70-160-75</t>
  </si>
  <si>
    <t>מבקר- הוצ' משרדיות</t>
  </si>
  <si>
    <t>מבקר- הוצ' שונות</t>
  </si>
  <si>
    <t>מבקר רכישת ציוד יסודי</t>
  </si>
  <si>
    <t>מזכירות-מכונות משרד וה</t>
  </si>
  <si>
    <t>מזכירות- אש"ל ונסיעות</t>
  </si>
  <si>
    <t>ספרים ועתונים</t>
  </si>
  <si>
    <t>מזכירות - השתלמויות</t>
  </si>
  <si>
    <t>מזכירות - ספרות מקצועית</t>
  </si>
  <si>
    <t>מזכירות-דמי חבר בארגונים</t>
  </si>
  <si>
    <t>הוצ.רכב 41-310-75 ליסינג</t>
  </si>
  <si>
    <t>מזכירות-מכשירי כתיבה ו</t>
  </si>
  <si>
    <t>מזכירות-הוצ' אחרות</t>
  </si>
  <si>
    <t>מרכז צעירים</t>
  </si>
  <si>
    <t>ריהוט וציוד</t>
  </si>
  <si>
    <t>הוצאות אחרות</t>
  </si>
  <si>
    <t>דובר-צרכי משרד</t>
  </si>
  <si>
    <t>דובר-השתלמויות</t>
  </si>
  <si>
    <t>דובר-ספרות מקצועית</t>
  </si>
  <si>
    <t>פירסומים</t>
  </si>
  <si>
    <t>דובר-רכישת ציוד יסודי</t>
  </si>
  <si>
    <t>קשרי חוץ</t>
  </si>
  <si>
    <t>מנגנון-ספרות מקצועית</t>
  </si>
  <si>
    <t>מנגנון-דמי חבר בארגוני</t>
  </si>
  <si>
    <t>מנגנון- הוצ' משרדיות</t>
  </si>
  <si>
    <t>עלות שימוש בתוכנת נוכח</t>
  </si>
  <si>
    <t>מנגנון- הוצ' שונות</t>
  </si>
  <si>
    <t>מנגנון-רכישת ציוד יסוד</t>
  </si>
  <si>
    <t>ב. אחריות מקצועית</t>
  </si>
  <si>
    <t>השתת' עצמית-חב' ביטוח</t>
  </si>
  <si>
    <t>השתת' עצמית -תשלום לנפ</t>
  </si>
  <si>
    <t>הוצאות משפטיות</t>
  </si>
  <si>
    <t>יועמ"ש- כיבודים</t>
  </si>
  <si>
    <t>יועמ"ש - אש"ל ונסיעות</t>
  </si>
  <si>
    <t>יועמ"ש השתלמויות</t>
  </si>
  <si>
    <t>יועמ"ש - ספרות מקצועית</t>
  </si>
  <si>
    <t>יועמ"ש-דמי חבר בארגוני</t>
  </si>
  <si>
    <t>הוצאות רכב73-954-72  ליס</t>
  </si>
  <si>
    <t>יועמ"ש-דואר</t>
  </si>
  <si>
    <t>יועמ"ש- הוצ' משרדיות</t>
  </si>
  <si>
    <t>יועמ"ש-מיכון ועיבוד נת</t>
  </si>
  <si>
    <t>יועמ"ש- הוצ' משפטיות</t>
  </si>
  <si>
    <t>יועמ"ש עבודות קבלניות</t>
  </si>
  <si>
    <t>יועמ"ש-רכישת ציוד יסוד</t>
  </si>
  <si>
    <t>יועמ"ש- הוצ' אחרות</t>
  </si>
  <si>
    <t>גזברות - ביטוח</t>
  </si>
  <si>
    <t>גזברות-ציוד משרדי מתכלה</t>
  </si>
  <si>
    <t>גזברות - כבודים</t>
  </si>
  <si>
    <t>גזברות- אש"ל ונסיעות</t>
  </si>
  <si>
    <t>גזברות-השתלמויות</t>
  </si>
  <si>
    <t>גזברות- ספרים ועתונים</t>
  </si>
  <si>
    <t>גזברות-דמי חבר בארגוני</t>
  </si>
  <si>
    <t>הוצ.רכב 70-181-75 ליסינג</t>
  </si>
  <si>
    <t>גזברות - הוצ' משרדיות</t>
  </si>
  <si>
    <t>גזברות-כלים מכשירים וצ</t>
  </si>
  <si>
    <t>גזברות-רכישת ציוד יסוד</t>
  </si>
  <si>
    <t>גזברות - הוצ' אחרות</t>
  </si>
  <si>
    <t>הנה"ח-ציוד משרדי מתכלה</t>
  </si>
  <si>
    <t>הנה"ח- הוצ' משרדיות</t>
  </si>
  <si>
    <t>הנה"ח-מיכון ועיבוד נתונים</t>
  </si>
  <si>
    <t>הנה"ח - עבודות קבלניות</t>
  </si>
  <si>
    <t>הנה"ח - הוצ' שונות</t>
  </si>
  <si>
    <t>הנח"ש-רכישת ציוד יסודי</t>
  </si>
  <si>
    <t>משכורת - השתלמויות</t>
  </si>
  <si>
    <t>הוצאות דואר</t>
  </si>
  <si>
    <t>משכורת- הוצ' משרדיות</t>
  </si>
  <si>
    <t>משכורת-מיכון ועיבוד נתונים</t>
  </si>
  <si>
    <t>משכורת- הוצ' שונות</t>
  </si>
  <si>
    <t>משכורת-רכישת ציוד יסוד</t>
  </si>
  <si>
    <t>גביה- ביטוח</t>
  </si>
  <si>
    <t>גביה-השתלמויות</t>
  </si>
  <si>
    <t>רכב 36-959-79 ליסינג</t>
  </si>
  <si>
    <t>גביה - הוצ' משרדיות</t>
  </si>
  <si>
    <t>גביה-מיכון ועיבוד נתונים</t>
  </si>
  <si>
    <t>גביה-הוצ' אחרות</t>
  </si>
  <si>
    <t>גביה - קבלן -ארנונה</t>
  </si>
  <si>
    <t>מדידות</t>
  </si>
  <si>
    <t>גביה - ועדת ערר</t>
  </si>
  <si>
    <t>גביה-רהוט וציוד</t>
  </si>
  <si>
    <t>תברואה - כיבוד</t>
  </si>
  <si>
    <t>תברואה- אש"ל ונסיעות</t>
  </si>
  <si>
    <t>השתלמויות</t>
  </si>
  <si>
    <t>תברואה- הוצ' משרדיות</t>
  </si>
  <si>
    <t>תברואה-הוצ' אחרות</t>
  </si>
  <si>
    <t>טנדר יסוזו 68-152-17</t>
  </si>
  <si>
    <t>תברואה- הוצ' שונות</t>
  </si>
  <si>
    <t>תברואה-רכישת ציוד יסוד</t>
  </si>
  <si>
    <t>הוצאות אחרות בלתי רגיל</t>
  </si>
  <si>
    <t>הוצ' קטנוע 1035765</t>
  </si>
  <si>
    <t>ניקוי רחובות-ציוד</t>
  </si>
  <si>
    <t>טיאוט רחובות ע"י מכונות</t>
  </si>
  <si>
    <t>נקיון רחובות</t>
  </si>
  <si>
    <t>כלי צ.מ.ה</t>
  </si>
  <si>
    <t>שרותים צבוריים-ע"ע</t>
  </si>
  <si>
    <t>קטנוע 1225265</t>
  </si>
  <si>
    <t>תפעול 47-716-70</t>
  </si>
  <si>
    <t>הוצ' קטנוע 1035865</t>
  </si>
  <si>
    <t>הוצ' קטנוע 1035965</t>
  </si>
  <si>
    <t>דחסן-צריכת מים</t>
  </si>
  <si>
    <t>ציוד משרדי</t>
  </si>
  <si>
    <t>תברואה-ציוד</t>
  </si>
  <si>
    <t>קליטת אשפה-עברון</t>
  </si>
  <si>
    <t>איסוף ופנוי מכולות</t>
  </si>
  <si>
    <t>תחנת מעבר דחסן</t>
  </si>
  <si>
    <t>איסוף ופינוי גזם</t>
  </si>
  <si>
    <t>אוספי אשפה</t>
  </si>
  <si>
    <t>עובד דחסן</t>
  </si>
  <si>
    <t>תברואה-58-236-00</t>
  </si>
  <si>
    <t>תברואה-58-865-00</t>
  </si>
  <si>
    <t>טרקטור 5847868</t>
  </si>
  <si>
    <t>תברואה-66-735-00</t>
  </si>
  <si>
    <t>איסוזו 3116075 - ליסינג</t>
  </si>
  <si>
    <t>רכב 51-83915</t>
  </si>
  <si>
    <t>משאית דחסן 8677515</t>
  </si>
  <si>
    <t>משאית 63-937-68</t>
  </si>
  <si>
    <t>משאית 63-936-68</t>
  </si>
  <si>
    <t>קטנוע 1064265</t>
  </si>
  <si>
    <t>נקיון ע"ע</t>
  </si>
  <si>
    <t>אחזקת עיר עתיקה</t>
  </si>
  <si>
    <t>הוצ' רכב שילדה 94-935-68</t>
  </si>
  <si>
    <t>אופנוע סאן יאנג 48-288-70</t>
  </si>
  <si>
    <t>גינון2572263-</t>
  </si>
  <si>
    <t>תברואה -הוצ' משרדיות</t>
  </si>
  <si>
    <t>תברואה-הוצ' אחרות)כלבת</t>
  </si>
  <si>
    <t>חמרים</t>
  </si>
  <si>
    <t>וטרינר7017917-</t>
  </si>
  <si>
    <t>לכידת סוסים</t>
  </si>
  <si>
    <t>נגרר 9183714</t>
  </si>
  <si>
    <t>ע.קבלניות לכידת כלבים</t>
  </si>
  <si>
    <t>א.ע. תחנת הסגר כלבים</t>
  </si>
  <si>
    <t>עבודות קבלניות-הדברות</t>
  </si>
  <si>
    <t>אחזקת בסיסים</t>
  </si>
  <si>
    <t>הוצאות כבוד</t>
  </si>
  <si>
    <t>תקשורת מוקד</t>
  </si>
  <si>
    <t>פרסום, טיפוח מתנדב</t>
  </si>
  <si>
    <t>מיציבושי 78-216-78</t>
  </si>
  <si>
    <t>אבטחת אירועים</t>
  </si>
  <si>
    <t>הפעלת מוקד רמה א</t>
  </si>
  <si>
    <t>הפעלת מצלמות</t>
  </si>
  <si>
    <t>עיר ללא אלימות</t>
  </si>
  <si>
    <t>ציוד משרדי משא"ז</t>
  </si>
  <si>
    <t>אופנוע 34-839-61</t>
  </si>
  <si>
    <t>הוצ' רכב 78-819-78</t>
  </si>
  <si>
    <t>הוצ' רכב 78-820-78</t>
  </si>
  <si>
    <t>הוצ' קטנוע 10-357-65</t>
  </si>
  <si>
    <t>הוצ' קטנוע 10-358-65</t>
  </si>
  <si>
    <t>הוצ' קטנוע 10-359-65</t>
  </si>
  <si>
    <t>אחזקת מקלטים ציבוריים</t>
  </si>
  <si>
    <t>הג"א-הוצ' חשמל</t>
  </si>
  <si>
    <t>עבודות קבלניות</t>
  </si>
  <si>
    <t>הג"א</t>
  </si>
  <si>
    <t>השתתפות בתקציב בלתי רגיל</t>
  </si>
  <si>
    <t>הג"א מרחבי</t>
  </si>
  <si>
    <t>השתתפות באגוד ערים</t>
  </si>
  <si>
    <t>הנדסה - ביטוח</t>
  </si>
  <si>
    <t>הנדסה-רהוט ואחזקתו</t>
  </si>
  <si>
    <t>הנדסה-כיבודים</t>
  </si>
  <si>
    <t>הנדסה-נסיעות וחניה</t>
  </si>
  <si>
    <t>הנדסה-ספרות מקצועית</t>
  </si>
  <si>
    <t>הנדסה-דמי חבר בארגונים</t>
  </si>
  <si>
    <t>הוצאות רכב 73-953-72 ליס</t>
  </si>
  <si>
    <t>הנדסה דואר</t>
  </si>
  <si>
    <t>הנדסה-פרסומים</t>
  </si>
  <si>
    <t>הנדסה-הוצ' משרדיות</t>
  </si>
  <si>
    <t>הנדסה-מיכון ועיבוד נתונים</t>
  </si>
  <si>
    <t>הנדסה-עבודות קבלניות</t>
  </si>
  <si>
    <t>הנדסה-שונות</t>
  </si>
  <si>
    <t>הנדסה-רכישת ציוד יסודי</t>
  </si>
  <si>
    <t>רכב 87-836-72</t>
  </si>
  <si>
    <t>אופנוע 51-425-13</t>
  </si>
  <si>
    <t>הוצאות תכנון</t>
  </si>
  <si>
    <t>עבודות קבלניו</t>
  </si>
  <si>
    <t>כלים מכשירים וציוד</t>
  </si>
  <si>
    <t>העברה מתקציב בלתי רגיל</t>
  </si>
  <si>
    <t>רכישת ציוד</t>
  </si>
  <si>
    <t>דלק וחשמל לפעולות</t>
  </si>
  <si>
    <t>העברה לתב"ר</t>
  </si>
  <si>
    <t>הנדסה-68-996-57</t>
  </si>
  <si>
    <t>הוצ' רכב 95-147-64</t>
  </si>
  <si>
    <t>הוצ' רכב 3906358</t>
  </si>
  <si>
    <t>גרור לגנרטור 78-550-15</t>
  </si>
  <si>
    <t>נגרר 96-311-15</t>
  </si>
  <si>
    <t>גרור 9446361</t>
  </si>
  <si>
    <t>ספרות מקצועית</t>
  </si>
  <si>
    <t>שלטים,תמרורים וסימון כב</t>
  </si>
  <si>
    <t>רשות נקוז</t>
  </si>
  <si>
    <t>גנים-מאור,כח,חימום,מים</t>
  </si>
  <si>
    <t>גנים - חומרים</t>
  </si>
  <si>
    <t>הוצ' 90-771-61</t>
  </si>
  <si>
    <t>תברואה-תיקוני רכב</t>
  </si>
  <si>
    <t>גנים-כלים,מכשירים,ציוד</t>
  </si>
  <si>
    <t>גינון</t>
  </si>
  <si>
    <t>גנים-גיזום-</t>
  </si>
  <si>
    <t>ניקוי חצרות</t>
  </si>
  <si>
    <t>גנים-דלק וחשמל</t>
  </si>
  <si>
    <t>גנים-הוצ אחרות</t>
  </si>
  <si>
    <t>גנים ונטיעות</t>
  </si>
  <si>
    <t>ציוד משרדי לאגף שפ"ע</t>
  </si>
  <si>
    <t>שפ"ע - חומרים</t>
  </si>
  <si>
    <t>הוצ 22-167-64</t>
  </si>
  <si>
    <t>הוצ' רכב 25-723-63</t>
  </si>
  <si>
    <t>הוצ' רכב 25-724-63</t>
  </si>
  <si>
    <t>שפ"ע-כלים,מכשירים,ציוד</t>
  </si>
  <si>
    <t>שפ"ע-הוצ אחרות</t>
  </si>
  <si>
    <t>שפע 12-528-51</t>
  </si>
  <si>
    <t>כבישים 25-721-63</t>
  </si>
  <si>
    <t>טרקטור 62-064-68</t>
  </si>
  <si>
    <t>מים-חופי רחצה</t>
  </si>
  <si>
    <t>אחזקת חופי רחצה</t>
  </si>
  <si>
    <t>הוצ' רכב 26-908-72</t>
  </si>
  <si>
    <t>אחזקה 35-596-56</t>
  </si>
  <si>
    <t>אירועי האביב</t>
  </si>
  <si>
    <t>הוצ' טנדר 8400361</t>
  </si>
  <si>
    <t>אירועי קיץ</t>
  </si>
  <si>
    <t>הוצ' רכב 6215515</t>
  </si>
  <si>
    <t>אירועים כללי</t>
  </si>
  <si>
    <t>הוצ' רכב 9283760</t>
  </si>
  <si>
    <t>ווקאליזה</t>
  </si>
  <si>
    <t>פדרציות למוסיקה-השתתפות</t>
  </si>
  <si>
    <t>מוקד עירוני-חמרים</t>
  </si>
  <si>
    <t>מוקד עירוני-ציוד משרדי</t>
  </si>
  <si>
    <t>מוקד-תקשורת שלוחות</t>
  </si>
  <si>
    <t>הוצ רכב 48-285-70</t>
  </si>
  <si>
    <t>מוקד עירוני-רכישת ציוד</t>
  </si>
  <si>
    <t>מאור שלוחות עיר עתיקה</t>
  </si>
  <si>
    <t>כיבודים</t>
  </si>
  <si>
    <t>הוצ' רכב 6359762</t>
  </si>
  <si>
    <t>קידום פרויקטים</t>
  </si>
  <si>
    <t>את"ד-השתתפות</t>
  </si>
  <si>
    <t>השתתפויות ותרומות</t>
  </si>
  <si>
    <t>השתת, הורים שכולים</t>
  </si>
  <si>
    <t>דמי חבר מש"מ</t>
  </si>
  <si>
    <t>ועד עובדים - השתתפות</t>
  </si>
  <si>
    <t>ייעוץ לביטוח</t>
  </si>
  <si>
    <t>קידום האישה</t>
  </si>
  <si>
    <t>כרטיסי רכבת לחיילים</t>
  </si>
  <si>
    <t>מלגות לסטודנטים</t>
  </si>
  <si>
    <t>כיבוד</t>
  </si>
  <si>
    <t>הוצ. רכב 71-712-75 ליסינג</t>
  </si>
  <si>
    <t>עוזר רה"ע</t>
  </si>
  <si>
    <t>פיקוח-אחזקת מבנים</t>
  </si>
  <si>
    <t>פיקוח-השתלמויות</t>
  </si>
  <si>
    <t>מכשירי כתיבה</t>
  </si>
  <si>
    <t>מיכון ועבוד נתונים</t>
  </si>
  <si>
    <t>בטחון השתת.בתב"ר תק.רגיל</t>
  </si>
  <si>
    <t>הוצ' רכב 80-706-50</t>
  </si>
  <si>
    <t>קרון סוסים 95-062-73</t>
  </si>
  <si>
    <t>שיפוי עבור נזקים</t>
  </si>
  <si>
    <t>אירוח וכיבוד</t>
  </si>
  <si>
    <t>מיכון ועיבוד נתונים</t>
  </si>
  <si>
    <t>ביגוד והנעלה</t>
  </si>
  <si>
    <t>עבודות קבלניות-מדחנים</t>
  </si>
  <si>
    <t>אופנועים 91-94</t>
  </si>
  <si>
    <t>חינוך-אחזקת מבנים</t>
  </si>
  <si>
    <t>קרן  ביטוח</t>
  </si>
  <si>
    <t>מכשירי כתיבה והדפס</t>
  </si>
  <si>
    <t>חינוך-נסיעות וחניה</t>
  </si>
  <si>
    <t>פרסומים</t>
  </si>
  <si>
    <t>חינוך-הוצאות משרדיות</t>
  </si>
  <si>
    <t>חינוך-מיכון</t>
  </si>
  <si>
    <t>חינוך-הוצ' אחרות</t>
  </si>
  <si>
    <t>חומרים</t>
  </si>
  <si>
    <t>חינוך השתת.בתב"ר תקציב רגיל</t>
  </si>
  <si>
    <t>כח אדם באתר הפסטיבל</t>
  </si>
  <si>
    <t>הוצאות אומנותיות</t>
  </si>
  <si>
    <t>פסטיבל עכו פרויקטים מחו"ל</t>
  </si>
  <si>
    <t>לוגיסטיקה ותשתית</t>
  </si>
  <si>
    <t>שיווק פרסום ויח"צ</t>
  </si>
  <si>
    <t>צוות הפקה</t>
  </si>
  <si>
    <t>מיכון משרדי</t>
  </si>
  <si>
    <t>שונות</t>
  </si>
  <si>
    <t>השתתפות בפסטיבל מסרחיד</t>
  </si>
  <si>
    <t>מופעי תרבות</t>
  </si>
  <si>
    <t>מופע פילהרמונית</t>
  </si>
  <si>
    <t>מאור כח חימום מים</t>
  </si>
  <si>
    <t>ספריה-מכשירי כתיבה</t>
  </si>
  <si>
    <t>ספריה-ספרים ועתונים</t>
  </si>
  <si>
    <t>ספריה- ספרות ועיתונים</t>
  </si>
  <si>
    <t>ספריה-בולים טלפון</t>
  </si>
  <si>
    <t>ספריה- הוצאות משרדיות</t>
  </si>
  <si>
    <t>ספריה-כלים מכשירים וציוד</t>
  </si>
  <si>
    <t>ספריה-עבודות קבלניות</t>
  </si>
  <si>
    <t>ציוד יסודי</t>
  </si>
  <si>
    <t>מרכז פיס-חשמל</t>
  </si>
  <si>
    <t>השתתפויות  מתנ"סים</t>
  </si>
  <si>
    <t>מתנס וולפסון</t>
  </si>
  <si>
    <t>בית קדם</t>
  </si>
  <si>
    <t>תזמורת - תיקונים</t>
  </si>
  <si>
    <t>תזמורת-מאור כח חימום</t>
  </si>
  <si>
    <t>תזמו'-חומרי ניקיון</t>
  </si>
  <si>
    <t>תזמורת-רהוט והחזקתו</t>
  </si>
  <si>
    <t>תזמורת-מכשירי כתיבה</t>
  </si>
  <si>
    <t>תזמורת -נסיעות</t>
  </si>
  <si>
    <t>תזמורת-ספרים ועתונים</t>
  </si>
  <si>
    <t>תזמורת-בולים,טלפון,מבר</t>
  </si>
  <si>
    <t>תזמורת-פרסומים והדפסות</t>
  </si>
  <si>
    <t>תזמורת-מכונות משרד והח</t>
  </si>
  <si>
    <t>תזמורת - חומרים</t>
  </si>
  <si>
    <t>תזמורת-תיקונים</t>
  </si>
  <si>
    <t>תזמורת-עבודות קבלניות</t>
  </si>
  <si>
    <t>תזמורת-הוצ אחרות</t>
  </si>
  <si>
    <t>מלגות לתלמידים מצטיינים</t>
  </si>
  <si>
    <t>סדרת מוצ"ש</t>
  </si>
  <si>
    <t>תזמורת-רכישת ציוד</t>
  </si>
  <si>
    <t>תיירות-מאור כח חימום מ</t>
  </si>
  <si>
    <t>תיירות-מים שירותים ע"ע</t>
  </si>
  <si>
    <t>תיירות-הוצ אחרות</t>
  </si>
  <si>
    <t>עמותת התיירות בגליל-הש</t>
  </si>
  <si>
    <t>שכירות</t>
  </si>
  <si>
    <t>חשמל מרכז צעירים</t>
  </si>
  <si>
    <t>בולים טלפון ומברקים</t>
  </si>
  <si>
    <t>בית יד לבנים</t>
  </si>
  <si>
    <t>פע. ספורט -מפעל הפיס</t>
  </si>
  <si>
    <t>אחזקת אצטדיון עירוני</t>
  </si>
  <si>
    <t>פעילויות ספורט</t>
  </si>
  <si>
    <t>רשות ספורט עירונית</t>
  </si>
  <si>
    <t>השתת'  בתקציב בלתי רגיל</t>
  </si>
  <si>
    <t>השתתפות בפעילות אזורית לקידום הספורט</t>
  </si>
  <si>
    <t>מד"א-השתתפות</t>
  </si>
  <si>
    <t>מכשירי כתיבה והדפסה</t>
  </si>
  <si>
    <t>קליטה-ספרות מקצועית</t>
  </si>
  <si>
    <t>פעילות לעליית עולים</t>
  </si>
  <si>
    <t>א.ערים-איכות הסביבה</t>
  </si>
  <si>
    <t>ריהוט ואחזקה</t>
  </si>
  <si>
    <t>כיבוד ואירוח</t>
  </si>
  <si>
    <t>נכסים-הוצ' משרדיות</t>
  </si>
  <si>
    <t>הוצ' קטנוע 1081865</t>
  </si>
  <si>
    <t>עבודות קבלניות שוק</t>
  </si>
  <si>
    <t>בית עיריה- חומרים</t>
  </si>
  <si>
    <t>ציוד וריהוט</t>
  </si>
  <si>
    <t>כבודים-בית העיריה</t>
  </si>
  <si>
    <t>בית העיריה-מיכון</t>
  </si>
  <si>
    <t>הוצאות מיכון שונות</t>
  </si>
  <si>
    <t>הוצ' קטנוע 6177368</t>
  </si>
  <si>
    <t>עבודות קבלניות-נקיון</t>
  </si>
  <si>
    <t>קניית שירותים ממוסדות-</t>
  </si>
  <si>
    <t>הע. לתקציב בלתי רגיל</t>
  </si>
  <si>
    <t>שכר דירה דמי חכירה</t>
  </si>
  <si>
    <t>אחזקה וביטוח- רכבים</t>
  </si>
  <si>
    <t>כללי-דלק ושמנים 49-531</t>
  </si>
  <si>
    <t>כללי- 79-264-82</t>
  </si>
  <si>
    <t>כללי- 16-333-54</t>
  </si>
  <si>
    <t>כללי-79-079-82</t>
  </si>
  <si>
    <t>נגרר 6303015</t>
  </si>
  <si>
    <t>נגרר 63-846-15 מח" רכב</t>
  </si>
  <si>
    <t>טנדר 2375408</t>
  </si>
  <si>
    <t>הוצ' רכב 3546657</t>
  </si>
  <si>
    <t>עבו קב. הוס. צנרת</t>
  </si>
  <si>
    <t>הוצ. אחרות</t>
  </si>
  <si>
    <t>ביטוח בריאות עובדים</t>
  </si>
  <si>
    <t>[4]     220</t>
  </si>
  <si>
    <t>חינוך</t>
  </si>
  <si>
    <t>[4]     230</t>
  </si>
  <si>
    <t>שכר עובדי חינוך</t>
  </si>
  <si>
    <t>משכורת</t>
  </si>
  <si>
    <t>שכ"ע יומיים</t>
  </si>
  <si>
    <t>שכר עוזרות לגננות</t>
  </si>
  <si>
    <t>משכורת גנ"י ע.ג.</t>
  </si>
  <si>
    <t>משכ' מזכירים - יסודי</t>
  </si>
  <si>
    <t>משכ' שרתים - יסודי</t>
  </si>
  <si>
    <t>בה"ס שרתים</t>
  </si>
  <si>
    <t>משכ' ע.נקיון - יסודי</t>
  </si>
  <si>
    <t>משכ' סייעות - יסודי</t>
  </si>
  <si>
    <t>משכ' סייעות</t>
  </si>
  <si>
    <t>משכורת_שרתים חנ"מ</t>
  </si>
  <si>
    <t>משכ' סייעות - חנ"מ</t>
  </si>
  <si>
    <t>משכורת ביה"ס חנ"מ</t>
  </si>
  <si>
    <t>משכ' שרתים</t>
  </si>
  <si>
    <t>משכ..רשת אמית</t>
  </si>
  <si>
    <t>משכ' - קב"ט</t>
  </si>
  <si>
    <t>משכ' - מרפ"ד</t>
  </si>
  <si>
    <t>משכ' מזכירים - שפ"י</t>
  </si>
  <si>
    <t>משכ' ע.נקיון - שפ"י</t>
  </si>
  <si>
    <t>משכורת_רווחה חינוכית</t>
  </si>
  <si>
    <t>משכ' - קבסי"ם</t>
  </si>
  <si>
    <t>שכר מגשרת עולים</t>
  </si>
  <si>
    <t>מועדונית מדע ועמדה</t>
  </si>
  <si>
    <t>משכ.מועדוניות פ.ניקיון</t>
  </si>
  <si>
    <t>משכ.מועדוניות אם בית</t>
  </si>
  <si>
    <t>משכ. מועדוניות מדריכים</t>
  </si>
  <si>
    <t>משכ' הסעות - מלווה חנ"</t>
  </si>
  <si>
    <t>מתי"א</t>
  </si>
  <si>
    <t>משכ.מרכזי נוער וקהילה</t>
  </si>
  <si>
    <t>שכר מנהלת יחידת נוער עירונית</t>
  </si>
  <si>
    <t>יחידה לקידום הנוער</t>
  </si>
  <si>
    <t>משכורת פועלת ניקיון</t>
  </si>
  <si>
    <t>משכ.רפרנט עירוני לילדים ונוער בסיכון</t>
  </si>
  <si>
    <t>שכר טיפול בפרט</t>
  </si>
  <si>
    <t>שכר-יוזמות פדגוגיות</t>
  </si>
  <si>
    <t>[4]     240</t>
  </si>
  <si>
    <t>פעולות חינוך</t>
  </si>
  <si>
    <t>גני ילדים</t>
  </si>
  <si>
    <t>טלפונים בגני ילדים</t>
  </si>
  <si>
    <t>גני ילדים_חומרים</t>
  </si>
  <si>
    <t>חומרים גני ילדים</t>
  </si>
  <si>
    <t>השתתפות למרכז גנ"י מעי</t>
  </si>
  <si>
    <t>רכישת ציוד יסודי</t>
  </si>
  <si>
    <t>הוצאות אחרות-המרכז לגיל הרך</t>
  </si>
  <si>
    <t>גננות עובדות מדינה</t>
  </si>
  <si>
    <t>פנימיות יום-גנ"י-הוצ.א</t>
  </si>
  <si>
    <t>פנימיות יום-מיל"ת</t>
  </si>
  <si>
    <t>מכשירי כתיבה והדפסות</t>
  </si>
  <si>
    <t>טלפונים ואינטרנט</t>
  </si>
  <si>
    <t>חמרים-התחשבנות</t>
  </si>
  <si>
    <t>תוכניות חינוכיות</t>
  </si>
  <si>
    <t>שיפוצי קיץ מוס"ח</t>
  </si>
  <si>
    <t>ברכת ישראל  יו"חא</t>
  </si>
  <si>
    <t>ברכת ישראל</t>
  </si>
  <si>
    <t>בית ספר טרה סנטה</t>
  </si>
  <si>
    <t>נקיון בתי"ס יסודיים</t>
  </si>
  <si>
    <t>אחזקת מזגנים</t>
  </si>
  <si>
    <t>הזנה ביה"ס ניצנים</t>
  </si>
  <si>
    <t>חנ"מ-הוצ' אחרות</t>
  </si>
  <si>
    <t>נקיון חנ"מ</t>
  </si>
  <si>
    <t>מ.ימי-עבודות קבלניות</t>
  </si>
  <si>
    <t>כללי דלק ושמנים 8680200</t>
  </si>
  <si>
    <t>פר"ח -השתתפות</t>
  </si>
  <si>
    <t>השתתפות באורט-מקיף_ערבי</t>
  </si>
  <si>
    <t>השתתפות באורט מקיף ערבי</t>
  </si>
  <si>
    <t>אחזקת מבנים</t>
  </si>
  <si>
    <t>קרית חינוך אורט</t>
  </si>
  <si>
    <t>תיכון דתי אמי"ת</t>
  </si>
  <si>
    <t>הוצאות אחרות בלתי רגילות</t>
  </si>
  <si>
    <t>ע.קבלניות-שמירה בתי"ס</t>
  </si>
  <si>
    <t>מרפד הוצאות טלפון</t>
  </si>
  <si>
    <t>מרפ"ד הוצאות שונות</t>
  </si>
  <si>
    <t>שפ"י-השתלמויות</t>
  </si>
  <si>
    <t>ביטוח תאונות אישיות</t>
  </si>
  <si>
    <t>רווחה חינוכית-הוצ' אחר</t>
  </si>
  <si>
    <t>מועדונית מדע ועמדה -ת.לאומית</t>
  </si>
  <si>
    <t>הסעות</t>
  </si>
  <si>
    <t>מתיא-מים וחשמל</t>
  </si>
  <si>
    <t>מתיא הוצ תקשורת</t>
  </si>
  <si>
    <t>מתי"א שכפול</t>
  </si>
  <si>
    <t>מנ"ע-מים וחשמל</t>
  </si>
  <si>
    <t>מנ"ע-הוצ.תקשורת</t>
  </si>
  <si>
    <t>עב.קבלניות</t>
  </si>
  <si>
    <t>הוצאות חוגים ושונות</t>
  </si>
  <si>
    <t>חשמל קידום נוער</t>
  </si>
  <si>
    <t>תקשורת קידום נוער</t>
  </si>
  <si>
    <t>הפוך על הפוך</t>
  </si>
  <si>
    <t>קידום נוער</t>
  </si>
  <si>
    <t>התוכנית הלאומית דוח שמיד</t>
  </si>
  <si>
    <t>רווחה</t>
  </si>
  <si>
    <t>[4]     250</t>
  </si>
  <si>
    <t>שכר עובדי רווחה</t>
  </si>
  <si>
    <t>שכ"ע יומיים_סעד</t>
  </si>
  <si>
    <t>שכר עם הפנים לקהילה</t>
  </si>
  <si>
    <t>מפגרים מעון יום</t>
  </si>
  <si>
    <t>שכ"ע זמניים</t>
  </si>
  <si>
    <t>משכ.מפתן מורים</t>
  </si>
  <si>
    <t>משכורת מפתן</t>
  </si>
  <si>
    <t>משכ' מזכירים - מפתן</t>
  </si>
  <si>
    <t>משכ' שרתים - מפתן</t>
  </si>
  <si>
    <t>משכ' ע.נקיון - מפתן</t>
  </si>
  <si>
    <t>שכר חוסן העמותה לילדים בסיכון</t>
  </si>
  <si>
    <t>[4]     260</t>
  </si>
  <si>
    <t>פעולות רווחה</t>
  </si>
  <si>
    <t>רווחה-מיכון</t>
  </si>
  <si>
    <t>עבודות קבלניות שמירה</t>
  </si>
  <si>
    <t>קייטנה לאמהות</t>
  </si>
  <si>
    <t>מס.ארציות לדרי רחוב</t>
  </si>
  <si>
    <t>מרכזי טיפול במשפחה</t>
  </si>
  <si>
    <t>מים וחשמל-מועדון קשישים</t>
  </si>
  <si>
    <t>שכונה תומכת+קהילה תומכת</t>
  </si>
  <si>
    <t>מפגרים במעון אומונ'</t>
  </si>
  <si>
    <t>מפגרים במעון טיפולי)דק</t>
  </si>
  <si>
    <t>מעשי"ם .</t>
  </si>
  <si>
    <t>הוצאות שונות</t>
  </si>
  <si>
    <t>מס' יום לילד המוגבל</t>
  </si>
  <si>
    <t>תוכניות לילד החריג</t>
  </si>
  <si>
    <t>טיפול בנוער עבריין</t>
  </si>
  <si>
    <t>טיפ.בצעירים-פר אופק</t>
  </si>
  <si>
    <t>תרומה פרוייקט הלוחמה בסמים</t>
  </si>
  <si>
    <t>מפת"ן-אחזקת מבנים</t>
  </si>
  <si>
    <t>מפת"ן-הוצ' משרדיות</t>
  </si>
  <si>
    <t>מפת'ן מקומי אחזקה</t>
  </si>
  <si>
    <t>פעול משלימות למפתן</t>
  </si>
  <si>
    <t>טיפ.בנפג.סמים-פרוי.</t>
  </si>
  <si>
    <t>נקיון מפתן</t>
  </si>
  <si>
    <t>עבודה  קהילתית</t>
  </si>
  <si>
    <t>הוצ' אחרות</t>
  </si>
  <si>
    <t>התנדבות פעולות</t>
  </si>
  <si>
    <t>שקום שכונות השכלה גבוה</t>
  </si>
  <si>
    <t>פעולות חוסן העמותה לילדים בסיכון</t>
  </si>
  <si>
    <t>מ.יום טפולי עולים</t>
  </si>
  <si>
    <t>מעונות יום עולים</t>
  </si>
  <si>
    <t>מעש"ים עולים</t>
  </si>
  <si>
    <t>מפגר בפנימיה עולים</t>
  </si>
  <si>
    <t>ילדים בפנימיות-עולים</t>
  </si>
  <si>
    <t>טיפול בזקנים עולים</t>
  </si>
  <si>
    <t>טיפול בעוורים עולים</t>
  </si>
  <si>
    <t>פרעון מלוות</t>
  </si>
  <si>
    <t>[4]     270</t>
  </si>
  <si>
    <t>פרעון קרן מלוות</t>
  </si>
  <si>
    <t>פרעון ריבית הלוות</t>
  </si>
  <si>
    <t>פרעון הצמדה מלוות</t>
  </si>
  <si>
    <t>[4]     300</t>
  </si>
  <si>
    <t>פרעון מלוות ביוב</t>
  </si>
  <si>
    <t>פרעון קרן</t>
  </si>
  <si>
    <t>פרעון ריבית</t>
  </si>
  <si>
    <t>פרעון הצמדה</t>
  </si>
  <si>
    <t>[3]     280</t>
  </si>
  <si>
    <t>הוצאות מימון</t>
  </si>
  <si>
    <t>עמלות</t>
  </si>
  <si>
    <t>עמלות בנקאיות בגין עיק</t>
  </si>
  <si>
    <t>רבית על משיכות יתר</t>
  </si>
  <si>
    <t>הנחות מימון</t>
  </si>
  <si>
    <t>[3]     290</t>
  </si>
  <si>
    <t>העברות והוצאות חד פעמיות</t>
  </si>
  <si>
    <t>דמי חבר לקידום והכשרה</t>
  </si>
  <si>
    <t>הוצאות שנים קודמות</t>
  </si>
  <si>
    <t>הנחות בארנונה</t>
  </si>
  <si>
    <t>הנחות  ארנונה</t>
  </si>
  <si>
    <t>תקציב 2012</t>
  </si>
  <si>
    <t>ביצוע 2011</t>
  </si>
  <si>
    <t>הכנסות</t>
  </si>
  <si>
    <t>פנסיונרים</t>
  </si>
  <si>
    <t>עצמיות אחר</t>
  </si>
  <si>
    <t>סה"כ עצמיות</t>
  </si>
  <si>
    <t xml:space="preserve">תקבולים ממשרד הרווחה </t>
  </si>
  <si>
    <t>מענקים אחרים ממש.הפנים</t>
  </si>
  <si>
    <t>סה"כ תקבולי הממשלה</t>
  </si>
  <si>
    <t>הכנסות ח"פ ובגין שנים קודמות</t>
  </si>
  <si>
    <t>משרד הרווחה</t>
  </si>
  <si>
    <t>תקציבי עזר</t>
  </si>
  <si>
    <t>ארנונה לכיסוי גרעון</t>
  </si>
  <si>
    <t>שכר רווחה</t>
  </si>
  <si>
    <t>‏הוצאות</t>
  </si>
  <si>
    <t>סה"כ כלליות</t>
  </si>
  <si>
    <t>סה"כ חינוך</t>
  </si>
  <si>
    <t xml:space="preserve">פעולות רווחה  </t>
  </si>
  <si>
    <t>סה"כ רווחה</t>
  </si>
  <si>
    <t>פרעון מלוות מים וביוב</t>
  </si>
  <si>
    <t>פרעון מלוות אחרות</t>
  </si>
  <si>
    <t>סה"כ פרעון מלוות</t>
  </si>
  <si>
    <t>משרד החינוך</t>
  </si>
  <si>
    <t>הוצאות ח"פ ובגין שנים קודמות</t>
  </si>
  <si>
    <t>הוצאה לכיסוי גירעון נצבר</t>
  </si>
  <si>
    <t>סה"כ הוצאות כולל מותנה</t>
  </si>
  <si>
    <t>עודף (גרעון)</t>
  </si>
  <si>
    <t>הצעת תקציב 2013</t>
  </si>
  <si>
    <t>ביצוע 2012 עד היום</t>
  </si>
  <si>
    <t>ביצוע 2010</t>
  </si>
  <si>
    <t>אלברט+כהנא</t>
  </si>
  <si>
    <t>שכירות בדמי מפתח ס.ש7.</t>
  </si>
  <si>
    <t>מיכה</t>
  </si>
  <si>
    <t>קיטנות לאמהות</t>
  </si>
  <si>
    <t>ראובן</t>
  </si>
  <si>
    <t>רותי</t>
  </si>
  <si>
    <t>יעל</t>
  </si>
  <si>
    <t>נורית</t>
  </si>
  <si>
    <t>אלברט</t>
  </si>
  <si>
    <t>כהנא</t>
  </si>
  <si>
    <t>פרג'ון</t>
  </si>
  <si>
    <t>הוצאות מותנות עמותות</t>
  </si>
  <si>
    <t>ראובן/אלי חביב</t>
  </si>
  <si>
    <t>אלירן</t>
  </si>
  <si>
    <t>גלית</t>
  </si>
  <si>
    <t>ספריה</t>
  </si>
  <si>
    <t>אליעד</t>
  </si>
  <si>
    <t>נוימן</t>
  </si>
  <si>
    <t>נסיעות ואש"ל</t>
  </si>
  <si>
    <t>מימון השקעות בהלוואות</t>
  </si>
  <si>
    <t>הפרש</t>
  </si>
  <si>
    <t>איגור</t>
  </si>
  <si>
    <t>נוסחא</t>
  </si>
  <si>
    <t>ארנונה כללית
והנחות</t>
  </si>
  <si>
    <t>מענקים
 משרד הפנים</t>
  </si>
  <si>
    <t>לעדכן</t>
  </si>
  <si>
    <t>הכנסות עצמיות</t>
  </si>
  <si>
    <t>הכנסות ממשלה</t>
  </si>
  <si>
    <t>מים</t>
  </si>
  <si>
    <t>מענק איזון כללי</t>
  </si>
  <si>
    <t>מענקים אחרים</t>
  </si>
  <si>
    <t>פעולות</t>
  </si>
  <si>
    <t>שכר חינוך</t>
  </si>
  <si>
    <t xml:space="preserve">         </t>
  </si>
  <si>
    <t>הוצאות ח"פ ושנים קודמות</t>
  </si>
  <si>
    <t>נופשונים למפגר-צפון</t>
  </si>
  <si>
    <t>בית נועם</t>
  </si>
  <si>
    <t>תוכ. קבוצ. וקהילה עולים</t>
  </si>
  <si>
    <t>אליעד/ראובן</t>
  </si>
  <si>
    <t>העברה לתקציב בלתי רגיל</t>
  </si>
  <si>
    <t>מגבית קנדה - מנ"ע</t>
  </si>
  <si>
    <t>שכ"ע פסטיבל עכו</t>
  </si>
  <si>
    <t>הוצ' רכב 60-585-74 ליסינג</t>
  </si>
  <si>
    <t>אחזקת גנים ציבוריים וגני ילדים</t>
  </si>
  <si>
    <t>ועדת בחירות</t>
  </si>
  <si>
    <t>איצטדיון אחזקה</t>
  </si>
  <si>
    <t>מתאם סמים מס חוזה 123300</t>
  </si>
  <si>
    <t>תוכנית התקשוב הלאומית</t>
  </si>
  <si>
    <t>שכר תוכנית מעברים</t>
  </si>
  <si>
    <t>שכר תוכנית התקשוב הלאומית</t>
  </si>
  <si>
    <t>משכורת מלווה</t>
  </si>
  <si>
    <t>השתת.גרעין אומץ בפרוייקט התוכנית הלאומית דוח שמיד</t>
  </si>
  <si>
    <t>משרדי ממשלה-רווחה  תוכנית לאומית דוח שמיד</t>
  </si>
  <si>
    <t>הכנסה מאיזי פארק "פאנגו"</t>
  </si>
  <si>
    <t>אחזקת ל3 גנרטורים</t>
  </si>
  <si>
    <t>אחזקה שנתית למזרקה</t>
  </si>
  <si>
    <t>תוכנית לאומית צעירים דוח שמיד</t>
  </si>
  <si>
    <t>אנוש/קרן גאון</t>
  </si>
  <si>
    <t>סעיף תקציב</t>
  </si>
  <si>
    <t>שם סעיף</t>
  </si>
  <si>
    <t>סה"כ פרק 1.111 ארנונה כללית</t>
  </si>
  <si>
    <t>סה"כ פרק 1.11 ארנונות</t>
  </si>
  <si>
    <t>הכנסות גביה מתאגיד מים</t>
  </si>
  <si>
    <t>סה"כ פרק 1.12 אגרות</t>
  </si>
  <si>
    <t>סה"כ פרק 1.16 מימון</t>
  </si>
  <si>
    <t>סה"כ פרק 1.19 מענקים כלליים</t>
  </si>
  <si>
    <t>סה"כ פרק 1.1 מיסים ומענק כללי</t>
  </si>
  <si>
    <t>סה"כ פרק 1.21 תברואה</t>
  </si>
  <si>
    <t>הכנסות המטווח</t>
  </si>
  <si>
    <t>סה"כ פרק 1.22 שמירה ובטחון</t>
  </si>
  <si>
    <t>סה"כ פרק 1.23 תכנון ובניין עיר</t>
  </si>
  <si>
    <t>סה"כ פרק 1.24 נכסים ציבוריים</t>
  </si>
  <si>
    <t>סה"כ פרק 1.26 שירותים עירוניים שונים</t>
  </si>
  <si>
    <t>סה"כ פרק 1.28 פיקוח עירוני</t>
  </si>
  <si>
    <t>סה"כ פרק 1.2 שירותים מקומיים</t>
  </si>
  <si>
    <t>מכרזים</t>
  </si>
  <si>
    <t>השתת' הורים בטפוח</t>
  </si>
  <si>
    <t>התוכנית הלאומית-מש.חינוך</t>
  </si>
  <si>
    <t>פרויקט נאסן עמותה לקידום מצו.השתתפות מרכז השלטון</t>
  </si>
  <si>
    <t>סה"כ פרק 1.31 חינוך</t>
  </si>
  <si>
    <t>הכנסות ממוזיאונים</t>
  </si>
  <si>
    <t>סה"כ פרק 1.32 תרבות</t>
  </si>
  <si>
    <t>פעולות קהלתיות</t>
  </si>
  <si>
    <t>פקוח וטפול אומנה</t>
  </si>
  <si>
    <t>צרכים רפואיים</t>
  </si>
  <si>
    <t>טיפ.שיניים ומכ.לקשיש</t>
  </si>
  <si>
    <t>צרכים לזקן-קו עימות</t>
  </si>
  <si>
    <t>נופשונים וקייטנות</t>
  </si>
  <si>
    <t>השתת' הורים-ארוחות</t>
  </si>
  <si>
    <t>ת.לאומית נוער וצעיר</t>
  </si>
  <si>
    <t>פיתוח גישה קהילתית</t>
  </si>
  <si>
    <t>פנימיה למפגרים</t>
  </si>
  <si>
    <t>נכים בקהילה עולים</t>
  </si>
  <si>
    <t>סה"כ פרק 1.34 רווחה</t>
  </si>
  <si>
    <t>סה"כ פרק 1.36 קליטה</t>
  </si>
  <si>
    <t>סה"כ פרק 1.3 שירותים ממלכתיים</t>
  </si>
  <si>
    <t>סה"כ פרק 1.41 מפעלים</t>
  </si>
  <si>
    <t>שכ"ד-ניהול נכסים</t>
  </si>
  <si>
    <t>סה"כ פרק 1.43 נכסים</t>
  </si>
  <si>
    <t>סה"כ פרק 1.44 תחבורה</t>
  </si>
  <si>
    <t>מענק תאגוד</t>
  </si>
  <si>
    <t>סה"כ פרק 1.47 מפעל הביוב</t>
  </si>
  <si>
    <t>סה"כ פרק 1.4 מפעלים</t>
  </si>
  <si>
    <t>הכנסות משנים קודמות</t>
  </si>
  <si>
    <t>תקבולים בלתי רגילים</t>
  </si>
  <si>
    <t>הלוואה לאיזון</t>
  </si>
  <si>
    <t xml:space="preserve">סה"כ פרק 1.59 </t>
  </si>
  <si>
    <t>סה"כ פרק 1.5 תקבולים בלתי רגילים</t>
  </si>
  <si>
    <t>סה"כ הכנסות</t>
  </si>
  <si>
    <t>משפטים-הוצ' אחרות</t>
  </si>
  <si>
    <t>סה"כ פרק 1.61 מינהל כללי</t>
  </si>
  <si>
    <t>גזברות-הוצ' אחרות</t>
  </si>
  <si>
    <t>משכורת עבודות קבלניות</t>
  </si>
  <si>
    <t>הוצ' קטנוע 49-471-13</t>
  </si>
  <si>
    <t>הוצאות גביה תאגיד מים</t>
  </si>
  <si>
    <t>סה"כ פרק 1.62 מינהל כספי</t>
  </si>
  <si>
    <t>סה"כ פרק 1.63 הוצאות מימון</t>
  </si>
  <si>
    <t>פרעון קרן הלו.ביוב ומים</t>
  </si>
  <si>
    <t>סה"כ פרק 1.64 פרעון מלוות</t>
  </si>
  <si>
    <t>סה"כ פרק 1.6 הנהלה כללית</t>
  </si>
  <si>
    <t>פינוי קרטונים</t>
  </si>
  <si>
    <t>מכסחת גינון 90455</t>
  </si>
  <si>
    <t>תברואה-כלים מכשירים וציוד</t>
  </si>
  <si>
    <t>סה"כ פרק 1.71 תברואה</t>
  </si>
  <si>
    <t>סה"כ פרק 1.72 שמירה וביטחון</t>
  </si>
  <si>
    <t>הנדסה-ציוד משרדי מתכלה</t>
  </si>
  <si>
    <t>הנדסה-הוצ' אחרות</t>
  </si>
  <si>
    <t>הנדסה-חומרים</t>
  </si>
  <si>
    <t>הנדסה-כלים מכשירים וציוד</t>
  </si>
  <si>
    <t>סה"כ פרק 1.73 תכנון ובניין עיר</t>
  </si>
  <si>
    <t>סה"כ פרק 1.74 נכסים ציבוריים</t>
  </si>
  <si>
    <t>סה"כ פרק 1.75 חגיגות,מבצעים ואירועים</t>
  </si>
  <si>
    <t>סה"כ פרק 1.76 שירותים עירוניים שונים</t>
  </si>
  <si>
    <t>שיווק מוניציפאלי</t>
  </si>
  <si>
    <t>סה"כ פרק 1.77 פיתוח כלכלי</t>
  </si>
  <si>
    <t>סה"כ פרק 1.78 פיקוח עירוני</t>
  </si>
  <si>
    <t>סה"כ פרק 1.7 שירותים מקומיים</t>
  </si>
  <si>
    <t>מפעל  הזנה</t>
  </si>
  <si>
    <t>מועדוניות</t>
  </si>
  <si>
    <t>שכר פרויקט נאס"ן</t>
  </si>
  <si>
    <t>סה"כ פרק 1.81 חינוך</t>
  </si>
  <si>
    <t>סה"כ פרק 1.82 תרבות</t>
  </si>
  <si>
    <t>סה"כ פרק 1.83 בריאות</t>
  </si>
  <si>
    <t>טיפול באלכוהוליסטים</t>
  </si>
  <si>
    <t>צח"י-צפון ועוטף עז</t>
  </si>
  <si>
    <t>סה"כ פרק 1.84 רווחה</t>
  </si>
  <si>
    <t>סה"כ פרק 1.85 שירותי דת</t>
  </si>
  <si>
    <t>סה"כ פרק 1.86 קליטת עלייה</t>
  </si>
  <si>
    <t>סה"כ פרק 1.87 איכות הסביבה</t>
  </si>
  <si>
    <t>סה"כ פרק 1.8 שירותים ממלכתיים</t>
  </si>
  <si>
    <t>סה"כ פרק 1.91 מים</t>
  </si>
  <si>
    <t>סה"כ פרק 1.93 נכסים</t>
  </si>
  <si>
    <t>דלק ושמנים 62-935-63</t>
  </si>
  <si>
    <t>מים מי עכו 25-724-63</t>
  </si>
  <si>
    <t>ביוב מי עכו 25-723-63</t>
  </si>
  <si>
    <t>סה"כ פרק 1.97 מפעל הביוב</t>
  </si>
  <si>
    <t>סה"כ פרק 1.98 מפעלים אחרים</t>
  </si>
  <si>
    <t>הפרשה מענק חד פעמי</t>
  </si>
  <si>
    <t>משכ' מפעלים אחרים</t>
  </si>
  <si>
    <t>הוצאה בלתי רגילה</t>
  </si>
  <si>
    <t>סה"כ פרק 1.99 מפעלים</t>
  </si>
  <si>
    <t xml:space="preserve">סה"כ פרק 1.9  </t>
  </si>
  <si>
    <t>סה"כ הוצאות</t>
  </si>
  <si>
    <t>עודף/(גרעון )</t>
  </si>
  <si>
    <t>עריית עכו</t>
  </si>
  <si>
    <t>מס' פרק</t>
  </si>
  <si>
    <t>שם הפרק</t>
  </si>
  <si>
    <t>הצעה</t>
  </si>
  <si>
    <t>תקציב</t>
  </si>
  <si>
    <t>ביצוע</t>
  </si>
  <si>
    <t>מיסים ומענקים</t>
  </si>
  <si>
    <t>מסים ואגרות</t>
  </si>
  <si>
    <t>מענקים</t>
  </si>
  <si>
    <t xml:space="preserve"> </t>
  </si>
  <si>
    <t xml:space="preserve">סה"כ </t>
  </si>
  <si>
    <t>הנהלה וכלליות</t>
  </si>
  <si>
    <t>מנהל כללי</t>
  </si>
  <si>
    <t>מנהל כספי</t>
  </si>
  <si>
    <t>שרותים מקומיים</t>
  </si>
  <si>
    <t>71/21</t>
  </si>
  <si>
    <t>תברואה</t>
  </si>
  <si>
    <t>72/22</t>
  </si>
  <si>
    <t>שמירה ובטחון</t>
  </si>
  <si>
    <t>73/23</t>
  </si>
  <si>
    <t>תכנון ובנין עיר</t>
  </si>
  <si>
    <t>74/24</t>
  </si>
  <si>
    <t>נכסים ציבוריים</t>
  </si>
  <si>
    <t>75/25</t>
  </si>
  <si>
    <t>חגיגות וארועים</t>
  </si>
  <si>
    <t>76/26</t>
  </si>
  <si>
    <t xml:space="preserve">שירותים שונים והשתת' </t>
  </si>
  <si>
    <t>78/28</t>
  </si>
  <si>
    <t>פיקוח עירוני</t>
  </si>
  <si>
    <t>77/27</t>
  </si>
  <si>
    <t>פיתוח כלכלי</t>
  </si>
  <si>
    <t>שרותים ממלכתיים</t>
  </si>
  <si>
    <t>81/31</t>
  </si>
  <si>
    <t>82/32</t>
  </si>
  <si>
    <t>תרבות</t>
  </si>
  <si>
    <t>83/33</t>
  </si>
  <si>
    <t>בריאות</t>
  </si>
  <si>
    <t>84/34</t>
  </si>
  <si>
    <t>85/35</t>
  </si>
  <si>
    <t>דת</t>
  </si>
  <si>
    <t>86/36</t>
  </si>
  <si>
    <t>קליטת עליה</t>
  </si>
  <si>
    <t>87/37</t>
  </si>
  <si>
    <t>איכות הסביבה</t>
  </si>
  <si>
    <t>מפעלים</t>
  </si>
  <si>
    <t>91/41</t>
  </si>
  <si>
    <t>93/43</t>
  </si>
  <si>
    <t>נכסים</t>
  </si>
  <si>
    <t>97/47</t>
  </si>
  <si>
    <t>ביוב</t>
  </si>
  <si>
    <t>98/44</t>
  </si>
  <si>
    <t>אחרים</t>
  </si>
  <si>
    <t>תקבולים לא רגילים</t>
  </si>
  <si>
    <t>99/51-9</t>
  </si>
  <si>
    <t xml:space="preserve">תקבולים ותשלומים </t>
  </si>
  <si>
    <t>11    18</t>
  </si>
  <si>
    <t>מענק איזון</t>
  </si>
  <si>
    <t>הוצ' רכב 63-597-62</t>
  </si>
  <si>
    <t>כללי דלק ושמנים 86-802-00</t>
  </si>
  <si>
    <t>הוצ' קטנוע 10-818-65</t>
  </si>
  <si>
    <t>אירועי חגים</t>
  </si>
  <si>
    <t xml:space="preserve">עריית עכו </t>
  </si>
  <si>
    <t>שכר ומשרות לפי פרקי תקציב</t>
  </si>
  <si>
    <t xml:space="preserve">ריכוז תקבולים ותשלומים של התקציב הרגיל לפי פרקי תקציב </t>
  </si>
  <si>
    <t>באלפי ₪</t>
  </si>
  <si>
    <t>מנהל כספים</t>
  </si>
  <si>
    <t>סה"כ הנהלה וכלליות</t>
  </si>
  <si>
    <t>מס' משרות</t>
  </si>
  <si>
    <t>עלויות שכר</t>
  </si>
  <si>
    <t>שמירה וביטחון</t>
  </si>
  <si>
    <t>שרותים עירוניים שונים</t>
  </si>
  <si>
    <t>סה"כ שירותים מקומיים</t>
  </si>
  <si>
    <t>שירותים חקלאיים</t>
  </si>
  <si>
    <t>סה"כ מפעלים</t>
  </si>
  <si>
    <t>גמלאים</t>
  </si>
  <si>
    <t>סה"כ כללי</t>
  </si>
  <si>
    <t>סה"כ שירותים ממלכתיים</t>
  </si>
  <si>
    <t>בתי מטבחיים</t>
  </si>
  <si>
    <t>תחבורה</t>
  </si>
  <si>
    <t>מפעלי ביוב</t>
  </si>
  <si>
    <t>מפעלים אחרים</t>
  </si>
  <si>
    <t>גובה ארנונה</t>
  </si>
  <si>
    <t>35% למגורים</t>
  </si>
  <si>
    <t>השתתפות בחינוך בתקציב 2013</t>
  </si>
  <si>
    <t>השתתפות ברווחה בתקציב 2013</t>
  </si>
  <si>
    <t>הוצאות תרבות</t>
  </si>
  <si>
    <t>השתתפות עירייה</t>
  </si>
  <si>
    <t xml:space="preserve">הכנסות </t>
  </si>
  <si>
    <t>שנת 2013</t>
  </si>
  <si>
    <t>נטו</t>
  </si>
  <si>
    <t>ביצוע 2012</t>
  </si>
  <si>
    <t>הסעות חינוך מיוחד</t>
  </si>
  <si>
    <t>קהילות פונקציונליות</t>
  </si>
  <si>
    <t>פיתוח קהיל.בין תרבו</t>
  </si>
  <si>
    <t>השכרת מתקני ספורט</t>
  </si>
  <si>
    <t>אגרת חפירה</t>
  </si>
  <si>
    <t>הוצאות רישום ועיקול32-</t>
  </si>
  <si>
    <t>אגרת שלטים פיגורים</t>
  </si>
  <si>
    <t>השתתפות מ. הפנים מ.מות</t>
  </si>
  <si>
    <t>פיצוי שחיקת שכר</t>
  </si>
  <si>
    <t>פיצוי בגין שחיקת מים</t>
  </si>
  <si>
    <t>פינוי אשפה קציני ים</t>
  </si>
  <si>
    <t>מכולות ופסולת</t>
  </si>
  <si>
    <t>רוכלים</t>
  </si>
  <si>
    <t>לכידת בעלי חיים107-</t>
  </si>
  <si>
    <t>כללי וטרינר106-</t>
  </si>
  <si>
    <t>מלחמה בכלבת</t>
  </si>
  <si>
    <t>סימון שבבים אלקטרוניים</t>
  </si>
  <si>
    <t>השתתפות איכות הסביבה</t>
  </si>
  <si>
    <t>השתתפות מ.שיטור קהילתי</t>
  </si>
  <si>
    <t>כבישים</t>
  </si>
  <si>
    <t>גינון-מש החקלאות</t>
  </si>
  <si>
    <t>הכנסות חופי רחצה</t>
  </si>
  <si>
    <t>החזר עמלות</t>
  </si>
  <si>
    <t>מרכז גיל הרך-דגם בן משרדי</t>
  </si>
  <si>
    <t>השתת' הממשלה לעוזרות ג</t>
  </si>
  <si>
    <t>השתתפות העירייה למילת</t>
  </si>
  <si>
    <t>השתת' הורים לבת'"ס</t>
  </si>
  <si>
    <t>מפעל הזנה</t>
  </si>
  <si>
    <t>משרד הבריאות-סייעות</t>
  </si>
  <si>
    <t>חינוך מיוחד מש.הבריאות</t>
  </si>
  <si>
    <t>שכל"מ מקיף ערבי</t>
  </si>
  <si>
    <t>הסעות מחוננים</t>
  </si>
  <si>
    <t>קרן מילגות עירוני</t>
  </si>
  <si>
    <t>השתתפות משרד החנוך רווחה חינוכית</t>
  </si>
  <si>
    <t>מתאם סמים 123300 מס.חוזה</t>
  </si>
  <si>
    <t>מכון לחינוך דמוקרטי-עי</t>
  </si>
  <si>
    <t>פעולות תרבותית אומנותים</t>
  </si>
  <si>
    <t>ספריות הכנסות ממשלה</t>
  </si>
  <si>
    <t>מתקני ספורט</t>
  </si>
  <si>
    <t>הוצאות מנהליות</t>
  </si>
  <si>
    <t>הערכות המחלקות לש"ח</t>
  </si>
  <si>
    <t>תגבור אזור העימות</t>
  </si>
  <si>
    <t>סיוע חד פעמי לחימום</t>
  </si>
  <si>
    <t>טיפול בפרט ובמשפחה</t>
  </si>
  <si>
    <t>סדנאות למשפחה</t>
  </si>
  <si>
    <t>ת.לאומית-אוטיסטים</t>
  </si>
  <si>
    <t>טיפול בילדי קהילה-אופק</t>
  </si>
  <si>
    <t>תחנה לטיפול משפחתי</t>
  </si>
  <si>
    <t>מ.יום ותעסוקה לבוגרים</t>
  </si>
  <si>
    <t>הסעות לאוטיסטים</t>
  </si>
  <si>
    <t>דמי לווי לעוור</t>
  </si>
  <si>
    <t>מפעלי תעסוקה ומועדון</t>
  </si>
  <si>
    <t>נכים בפנימיות-צפון</t>
  </si>
  <si>
    <t>תכנית מעבר</t>
  </si>
  <si>
    <t>הסעות נכים</t>
  </si>
  <si>
    <t>טפול לילד עוור בקהילה</t>
  </si>
  <si>
    <t>נוער חרדי מנותק</t>
  </si>
  <si>
    <t>נוער וצעיר.חוץ ביתי</t>
  </si>
  <si>
    <t>שהות במקלט לנערות</t>
  </si>
  <si>
    <t>מעונות חסות</t>
  </si>
  <si>
    <t>סמים-טיפול בקהילה-אופק</t>
  </si>
  <si>
    <t>התמכרויות-מבוגרים</t>
  </si>
  <si>
    <t>מפת'ן</t>
  </si>
  <si>
    <t>יעדים לצפון פרויקט מ.נ</t>
  </si>
  <si>
    <t>יעדים לצפון פרויקט מנ"</t>
  </si>
  <si>
    <t>עבודה קהילת.-פר' אופק</t>
  </si>
  <si>
    <t>נפגעי תאונות דרכים</t>
  </si>
  <si>
    <t>פיתוח קהילתית אסטרטגי</t>
  </si>
  <si>
    <t>תוכניות פתג''ם</t>
  </si>
  <si>
    <t>תוכ.קבוצ.וקהיל-עולים</t>
  </si>
  <si>
    <t>טפול בצעירים-עולים</t>
  </si>
  <si>
    <t>נכים בקהילה-עולים</t>
  </si>
  <si>
    <t>תקשורת לחירשים</t>
  </si>
  <si>
    <t>אבחון ושקום נכים-עולים</t>
  </si>
  <si>
    <t>מפגרים בקהילה-עולים</t>
  </si>
  <si>
    <t>פרוייקט לנגמלים</t>
  </si>
  <si>
    <t>אגרת מים שוטף</t>
  </si>
  <si>
    <t>מים מוסדות עיריה</t>
  </si>
  <si>
    <t>יתרת אגרת מים77-</t>
  </si>
  <si>
    <t>יתרת זכויות מים76-</t>
  </si>
  <si>
    <t>אגרת חידוש חיבור30-</t>
  </si>
  <si>
    <t>היטל צריכה מים עודפת ס.ש.49</t>
  </si>
  <si>
    <t>סה"כ הכנסות עצמיות</t>
  </si>
  <si>
    <t>ב.ק.מפגעי תברואה</t>
  </si>
  <si>
    <t>סה"כ תקבולי ממשלה</t>
  </si>
  <si>
    <t>[3]     110</t>
  </si>
  <si>
    <t>טרקטור 58-478-68</t>
  </si>
  <si>
    <t>מכסחת גינון 66-735-00</t>
  </si>
  <si>
    <t>הוצ' קטנוע 13-537-12</t>
  </si>
  <si>
    <t>הוצ' רכב 48-285-70</t>
  </si>
  <si>
    <t>[2]     320</t>
  </si>
  <si>
    <t>רכב 59-248-64</t>
  </si>
  <si>
    <t>הוצ' רכב 65-934-30</t>
  </si>
  <si>
    <t>הוצ' רכב 65-933-30</t>
  </si>
  <si>
    <t>מש.התיירות ניקיון ע"ע</t>
  </si>
  <si>
    <t xml:space="preserve">סה"כ הכנסות </t>
  </si>
  <si>
    <t xml:space="preserve">סה"כ הוצאות </t>
  </si>
  <si>
    <t>פעילויות קהילתיות</t>
  </si>
  <si>
    <t>תמיכות עמותות</t>
  </si>
  <si>
    <t>פעולות קהילתיות רווחה</t>
  </si>
  <si>
    <t>תקציב 2016</t>
  </si>
  <si>
    <t xml:space="preserve">הכנסה לכיסוי גירעון פורשים </t>
  </si>
  <si>
    <t>שיפוי נזקי רכב</t>
  </si>
  <si>
    <t>הוצ. רכב 77-250-52 - ליסינג</t>
  </si>
  <si>
    <t>רכב 70-179-19</t>
  </si>
  <si>
    <t>גרור 97-771-76</t>
  </si>
  <si>
    <t>רכב 68-152-17</t>
  </si>
  <si>
    <t>***ליסינג 67-026-31 כללי</t>
  </si>
  <si>
    <t>רכב 94-414-31 - ליסינג</t>
  </si>
  <si>
    <t>***ליסינג 24-386-32 כללי</t>
  </si>
  <si>
    <t>ליסינג 24-386-32 - כללי</t>
  </si>
  <si>
    <t>רכב-שכ"ע</t>
  </si>
  <si>
    <t>משכורת עגף מחשוב</t>
  </si>
  <si>
    <t>משכורת ע.נקיון-מפתן</t>
  </si>
  <si>
    <t>טיפול בנוער מתמכר</t>
  </si>
  <si>
    <t>איתור לתעסוקה</t>
  </si>
  <si>
    <t>מועדונ.לילדים ולבוגר</t>
  </si>
  <si>
    <t>מועדון מופת</t>
  </si>
  <si>
    <t>השתתפות בפעילות לקשישים</t>
  </si>
  <si>
    <t>שכ"ע</t>
  </si>
  <si>
    <t xml:space="preserve"> משכורת</t>
  </si>
  <si>
    <t>טיפול בדרי רחוב</t>
  </si>
  <si>
    <t>סיו"ע לנזקקים</t>
  </si>
  <si>
    <t>נושמים לרווחה-כ"א</t>
  </si>
  <si>
    <t>פעילויות ספורט שונות</t>
  </si>
  <si>
    <t>שכר-התוכנית הלאומית</t>
  </si>
  <si>
    <t>משכ' - מרכז פסג"ה</t>
  </si>
  <si>
    <t>***כללי דלק ושמנים 8680200</t>
  </si>
  <si>
    <t>חינוך-תוספת דיפרנציאלית ניהול עצמי</t>
  </si>
  <si>
    <t>חינוך-עובד סיוע משופר א-ו</t>
  </si>
  <si>
    <t>פעולויות חינוכיות</t>
  </si>
  <si>
    <t>***הוצ אופנוע 36-592-64</t>
  </si>
  <si>
    <t>עבודות קבלניות חניה סלולרית</t>
  </si>
  <si>
    <t>הוצ' קטנוע 36-592-64</t>
  </si>
  <si>
    <t>***רכב 92-181-32 - ליסינג</t>
  </si>
  <si>
    <t>רכב 92-181-32 - ליסינג</t>
  </si>
  <si>
    <t>***אחזקה 35-596-56</t>
  </si>
  <si>
    <t>***הוצ' רכב 26-908-72</t>
  </si>
  <si>
    <t>***הוצ' רכב 60-585-74 ליסינג</t>
  </si>
  <si>
    <t>הוצ טנדר 84-003-61</t>
  </si>
  <si>
    <t>***רכב 71-402-34 ליסינג</t>
  </si>
  <si>
    <t>הוצ רכב 25-723-63</t>
  </si>
  <si>
    <t>הוצ רכב 25-724-63</t>
  </si>
  <si>
    <t>***הוצ' רכב 25-724-63</t>
  </si>
  <si>
    <t>***הוצ' רכב 25-723-63</t>
  </si>
  <si>
    <t>רכב 71-402-34 ליסינג</t>
  </si>
  <si>
    <t>***קיה קוריאה 94-122-11</t>
  </si>
  <si>
    <t>***רכב 56-238-11 ליסינג</t>
  </si>
  <si>
    <t>***טויוטה 35-596-56</t>
  </si>
  <si>
    <t>***הוצ' רכב 78-820-78</t>
  </si>
  <si>
    <t>***הוצ' רכב 78-819-78</t>
  </si>
  <si>
    <t>תחזוקה מצלמות ברחבי העיר</t>
  </si>
  <si>
    <t>***מיציבושי 78-216-78</t>
  </si>
  <si>
    <t>וטרינר 35-596-56</t>
  </si>
  <si>
    <t>***יונדאי 62-332-12 ליסינג</t>
  </si>
  <si>
    <t>איסוזו 87-392-32 ליסינג</t>
  </si>
  <si>
    <t>משכורת נהגי משאיות גזם</t>
  </si>
  <si>
    <t>***איסוזו 3116075 - ליסינג</t>
  </si>
  <si>
    <t>***איסוזו 31-160-75 ליסינג</t>
  </si>
  <si>
    <t>אגרת כיבוי אש-שריפות</t>
  </si>
  <si>
    <t>***הוצ קטנוע 13-537-12</t>
  </si>
  <si>
    <t>משאית דאף 44-057-30</t>
  </si>
  <si>
    <t>משאית דאף 44-091-30</t>
  </si>
  <si>
    <t>***טנדר יסוזו 68-152-17</t>
  </si>
  <si>
    <t>גביה-שכ"ע</t>
  </si>
  <si>
    <t>השתתפות בתב"ר</t>
  </si>
  <si>
    <t>***גזברות - 47-716-70 - דניאלי</t>
  </si>
  <si>
    <t>הוצ רכב מבקר 35-619-54 ליסינג</t>
  </si>
  <si>
    <t>הנהלה 47-716-70 נועם</t>
  </si>
  <si>
    <t>***שברולט רה"ע 85-955-12</t>
  </si>
  <si>
    <t>הכנסות סלופארק</t>
  </si>
  <si>
    <t>פנגו חב.סלולרית מילגם</t>
  </si>
  <si>
    <t>רווחה-מכרזים</t>
  </si>
  <si>
    <t>הכנסות שונות ספורט</t>
  </si>
  <si>
    <t>חינוך-ניהול עצמי משופר א-ו</t>
  </si>
  <si>
    <t>מעגו-שמיד-מערך תומך מעון-גן עכו</t>
  </si>
  <si>
    <t>ב.ק. שילוט</t>
  </si>
  <si>
    <t>היטל תיעול</t>
  </si>
  <si>
    <t>ניהול תיקים,תעודות ואישורים</t>
  </si>
  <si>
    <t>ביצוע 2015</t>
  </si>
  <si>
    <t>עבודה 2016</t>
  </si>
  <si>
    <t>אחזקת מגרש אימונים</t>
  </si>
  <si>
    <t>חשמל מגרש אימונים</t>
  </si>
  <si>
    <t>אחזקת פארק בוטני</t>
  </si>
  <si>
    <t>שיקום מרכז למשפחה</t>
  </si>
  <si>
    <t>נושמים לרווחה</t>
  </si>
  <si>
    <t>שטיפת מדרכות ברחבי העיר</t>
  </si>
  <si>
    <t>עבודות קבלניות קצין תעבורה</t>
  </si>
  <si>
    <t>השתתפות אשכול גליל מערבי</t>
  </si>
  <si>
    <t>הוצאות שונות הון אנושי</t>
  </si>
  <si>
    <t>לשכה</t>
  </si>
  <si>
    <t xml:space="preserve">מבקר </t>
  </si>
  <si>
    <t>מנכ"ל</t>
  </si>
  <si>
    <t>הון אנושי</t>
  </si>
  <si>
    <t>סמנכ"ל</t>
  </si>
  <si>
    <t>יועמ"ש</t>
  </si>
  <si>
    <t xml:space="preserve">גזבר </t>
  </si>
  <si>
    <t>הנה"ח</t>
  </si>
  <si>
    <t>שכר</t>
  </si>
  <si>
    <t>גביה</t>
  </si>
  <si>
    <t>ביטחון ופיקוח</t>
  </si>
  <si>
    <t>הנדסה</t>
  </si>
  <si>
    <t>דובר</t>
  </si>
  <si>
    <t>מתנסים(ללא פעולות יעודיות)</t>
  </si>
  <si>
    <t>ספורט כולל תמיכות</t>
  </si>
  <si>
    <t>מנהל חינוך</t>
  </si>
  <si>
    <t>תזמורת</t>
  </si>
  <si>
    <t>מוקד עירוני</t>
  </si>
  <si>
    <t>סעיפים שונים</t>
  </si>
  <si>
    <t>קליטה</t>
  </si>
  <si>
    <t>בית העירייה</t>
  </si>
  <si>
    <t>ממ"מ</t>
  </si>
  <si>
    <t>עמידר</t>
  </si>
  <si>
    <t>פעולות קשרי קהילה</t>
  </si>
  <si>
    <t>פעולות הפקה לתרבות</t>
  </si>
  <si>
    <t>מוסדות מדינה</t>
  </si>
  <si>
    <t>פירוט תקציב לפי מחלקה (ללא שכר עבודה)</t>
  </si>
  <si>
    <t>סך פעולות כלליות</t>
  </si>
  <si>
    <t>בית ספר טרה סנטה ושובו</t>
  </si>
  <si>
    <t>פער בתקציב</t>
  </si>
  <si>
    <t>תקציב 2017</t>
  </si>
  <si>
    <t>ביצוע 2016</t>
  </si>
  <si>
    <t>מנעולים עבור מקלטים משותפים</t>
  </si>
  <si>
    <t>היטל סלילה למימון מלוות פיתוח</t>
  </si>
  <si>
    <t>הכנסות מכרזים שונים</t>
  </si>
  <si>
    <t>מעגן-שמיד-מערך תומך מעון גן עכו</t>
  </si>
  <si>
    <t>דמי השכרת שירות 967</t>
  </si>
  <si>
    <t>מחשוב רפורמה</t>
  </si>
  <si>
    <t>תכנית למניעת אלימות</t>
  </si>
  <si>
    <t>התנ.מינית לא מותאמת</t>
  </si>
  <si>
    <t>טיפול בזקנים בסיכון</t>
  </si>
  <si>
    <t>מועדוניות לחירשים</t>
  </si>
  <si>
    <t>מרכז יום לנכים קשים</t>
  </si>
  <si>
    <t>שיקום-מרכז למשפחה</t>
  </si>
  <si>
    <t>טיפ.בעולים נפגעי סמים</t>
  </si>
  <si>
    <t>הכנסות מב.ק. וברירות משפט ופיקוח קנסות</t>
  </si>
  <si>
    <t>***הוצ.רכב 19-827-38 - ליסינג</t>
  </si>
  <si>
    <t>הוצ. רכב 19-827-38 - ליסינג</t>
  </si>
  <si>
    <t>קטנוע 22-959-74</t>
  </si>
  <si>
    <t>משכורת אינוונטר   ורכש</t>
  </si>
  <si>
    <t>אינוונטר ורכש-רכישת ציוד יסודי</t>
  </si>
  <si>
    <t>קטנוע 13-537-12</t>
  </si>
  <si>
    <t>יונדאי 48-718-37 ליסינג</t>
  </si>
  <si>
    <t>רכב 71-232-39 - ליסינג</t>
  </si>
  <si>
    <t>רכב 71-232-39 ליסינג</t>
  </si>
  <si>
    <t>תחזוקת מערכת שו"ב</t>
  </si>
  <si>
    <t>טרקטור 88-202-78</t>
  </si>
  <si>
    <t>הוצ.רכב 49-726-37 - ליסינג</t>
  </si>
  <si>
    <t>***טרקטור 88-202-78</t>
  </si>
  <si>
    <t>שפ"ע השתלמויות</t>
  </si>
  <si>
    <t>אחזקת הצללות ברחבי העיר</t>
  </si>
  <si>
    <t>רכב 70-179-17</t>
  </si>
  <si>
    <t>***טרקטור 62-064-68</t>
  </si>
  <si>
    <t>***הוצ' קטנוע 36-592-64</t>
  </si>
  <si>
    <t>הוצ. רכב 24-386-32 ליסינג</t>
  </si>
  <si>
    <t>חפ"ק חרום מרכז הפעלה 90-429-79</t>
  </si>
  <si>
    <t>רכב 94-414-31- ליסינג</t>
  </si>
  <si>
    <t>השתת.תכנית הישגים-אלומה</t>
  </si>
  <si>
    <t>השתת.ייעוץ הכוונת חיילים משוחררים</t>
  </si>
  <si>
    <t>הוצ.רכב 49-728-37 - ליסינג</t>
  </si>
  <si>
    <t>תזמורת כיבוד</t>
  </si>
  <si>
    <t>תזמורת-מיכון</t>
  </si>
  <si>
    <t>בן שירות בתזמורת</t>
  </si>
  <si>
    <t>מרכזי יום לנכים קשים</t>
  </si>
  <si>
    <t>השתתפ.תקציב רגיל בתב"ר</t>
  </si>
  <si>
    <t>עבודות קבלניות שרות מערכות מידע</t>
  </si>
  <si>
    <t>העברה לתקציב בילתי רגי</t>
  </si>
  <si>
    <t>***ליסינג 24-386-32 - כללי</t>
  </si>
  <si>
    <t>***רכב 94-414-31 - ליסינג</t>
  </si>
  <si>
    <t>תוצאות</t>
  </si>
  <si>
    <t>משכורת שיטור עירוני</t>
  </si>
  <si>
    <t>ליסינג שיטור עירוני</t>
  </si>
  <si>
    <t>קטנוע שיטור עירוני</t>
  </si>
  <si>
    <t>השתלמויות שיטור עירוני</t>
  </si>
  <si>
    <t>ביגוד שיטור עירוני</t>
  </si>
  <si>
    <t>.</t>
  </si>
  <si>
    <t>נשקייה ומטווחים</t>
  </si>
  <si>
    <t>הכנסות עצמיות תזמורת אמית</t>
  </si>
  <si>
    <t>העסקה רציפה מאבטחי מוס"ח</t>
  </si>
  <si>
    <t>ניקיון חופים</t>
  </si>
  <si>
    <t>השתתפות פסטיבל הים התיכון</t>
  </si>
  <si>
    <t>מש.התרבות-פסטיבל זמר ים תיכוני בראי ההיסטוריה של ע</t>
  </si>
  <si>
    <t xml:space="preserve"> ארוע אליפות השייט הבילאומית לנוער</t>
  </si>
  <si>
    <t>פעילות תרבות בינלאומית</t>
  </si>
  <si>
    <t>טרקטור 49-531</t>
  </si>
  <si>
    <t>מופת ניצולי שואה</t>
  </si>
  <si>
    <t>מועדונים מועשרים מופת</t>
  </si>
  <si>
    <t>שכר ת. לאומית ילד ונוער</t>
  </si>
  <si>
    <t>נושמים לרווחה ועוצמה</t>
  </si>
  <si>
    <t>שכר תחנות לטיפול במשפחה</t>
  </si>
  <si>
    <t>שכר נושמים לרווחה עוצמה</t>
  </si>
  <si>
    <t>שכר טיפול בנוער וצעירים</t>
  </si>
  <si>
    <t>שכר טיפול בנוער וצעירים זמניים</t>
  </si>
  <si>
    <t>שכ"ע מלווים הסעות</t>
  </si>
  <si>
    <t>שכר עם הפנים לקהילה-מועדונית</t>
  </si>
  <si>
    <t>שכר טיפול בילד בקהילה-מועדונית</t>
  </si>
  <si>
    <t>היטל תיעול למימון אגרת ניקוז</t>
  </si>
  <si>
    <t>תקורות עבור פרויקטים היטלי פיתוח</t>
  </si>
  <si>
    <t>תקשורת אצטדיון עירוני</t>
  </si>
  <si>
    <t>השתתפות המשרד לביטחון פנים בשיטור קהילתי</t>
  </si>
  <si>
    <t>אחזקת מתקני כושר ובטיחות במגרשים</t>
  </si>
  <si>
    <t>טיפול בחפ"קים וגנרטורים</t>
  </si>
  <si>
    <t>מיכון רכב</t>
  </si>
  <si>
    <t>ארועים ופעילויות תרבות</t>
  </si>
  <si>
    <t>תפעול כולל שוק</t>
  </si>
  <si>
    <t>מדפסות ותקשורת- לשכה</t>
  </si>
  <si>
    <t>מדפסות ותקשורת -מבקר</t>
  </si>
  <si>
    <t>מדפסות ותקשורת - מזכירות</t>
  </si>
  <si>
    <t>מדפסות ותקשורת -דובר</t>
  </si>
  <si>
    <t>מדפסות ותקשורת-מנגנון</t>
  </si>
  <si>
    <t>מדפסות ותקשורת - יועמ"ש</t>
  </si>
  <si>
    <t>מדפסות ותקשורת -גזברות</t>
  </si>
  <si>
    <t>מדפסות ותקשורת - הנה"ח</t>
  </si>
  <si>
    <t>מדפסות ותקשורת - שכר</t>
  </si>
  <si>
    <t>מדפסות ותקשורת - תברואה</t>
  </si>
  <si>
    <t>מדפסות ותקשורת - וטרינר</t>
  </si>
  <si>
    <t>וטרינר- קניית שירותים ממוסדות</t>
  </si>
  <si>
    <t>תקשורת ומדפסות -ביטחון</t>
  </si>
  <si>
    <t>מדפסות ותקשורת -הנדסה</t>
  </si>
  <si>
    <t>מדפסות ותקשורת - הנדסה תכנון</t>
  </si>
  <si>
    <t>מדפסות ותקשורת- גנים</t>
  </si>
  <si>
    <t>מדפסות ותקשורת -שפ"ע</t>
  </si>
  <si>
    <t>מדפסות ותקשורת -חופי רחצה</t>
  </si>
  <si>
    <t>חשמל חופי רחצה</t>
  </si>
  <si>
    <t>תקשורת ומדפסות - מוקד</t>
  </si>
  <si>
    <t>מדפסות ותקשורת -עוזר רה"ע</t>
  </si>
  <si>
    <t>חשמל עוזר רה"ע</t>
  </si>
  <si>
    <t>מדפסות ותקשורת- פיקוח</t>
  </si>
  <si>
    <t>מדפסות ותקשורת - ספריה</t>
  </si>
  <si>
    <t>תקשורת ומדפסות -קליטה</t>
  </si>
  <si>
    <t>תקשורת ומדפסות -נכסים</t>
  </si>
  <si>
    <t>חשמל ותקשורת -שוק</t>
  </si>
  <si>
    <t>טרקטור 13-165-28</t>
  </si>
  <si>
    <t>הכנסות חד פעמיות ובגין ש"ק</t>
  </si>
  <si>
    <t>תקציב 2018</t>
  </si>
  <si>
    <t>הכנסות משכירות אתרי עבודות ברחבי העיר</t>
  </si>
  <si>
    <t>גני קדם חובה"</t>
  </si>
  <si>
    <t>פ.העשרה חנמ גנ"י"</t>
  </si>
  <si>
    <t>פנימיות יום-גני"</t>
  </si>
  <si>
    <t>השתת' הורים לבת'ס"</t>
  </si>
  <si>
    <t>מעגן-שמיד-מערך תומך מעון גן עכו גשרים</t>
  </si>
  <si>
    <t>שיפוצי קיצ מוסח"</t>
  </si>
  <si>
    <t>שרתים יסודי חנמ"</t>
  </si>
  <si>
    <t>סייעות כיתתיות+יוחא ח"</t>
  </si>
  <si>
    <t>קבט"</t>
  </si>
  <si>
    <t>משרדי ממשלה-פסגה"</t>
  </si>
  <si>
    <t>השתתפות הממשלה בשפי"</t>
  </si>
  <si>
    <t>מועדוניות_וקבס"</t>
  </si>
  <si>
    <t>קבסים"</t>
  </si>
  <si>
    <t>ליווי הסעות חנמ"</t>
  </si>
  <si>
    <t>מתיא -מזכירים"</t>
  </si>
  <si>
    <t>מתיא -שרתים"</t>
  </si>
  <si>
    <t>מתיא אגרת שכפול"</t>
  </si>
  <si>
    <t>מגבית קנדה - מנע"</t>
  </si>
  <si>
    <t>סדרת צלילי מוצש"</t>
  </si>
  <si>
    <t>כא לחינוך המיוחד"</t>
  </si>
  <si>
    <t>הערכות המחלקות לשח"</t>
  </si>
  <si>
    <t>נושמים לרווחה-כא"</t>
  </si>
  <si>
    <t>ק.תומכת נצולי שואה</t>
  </si>
  <si>
    <t>סידור במעונות-משה"</t>
  </si>
  <si>
    <t>מעון ממשלתי -משה"</t>
  </si>
  <si>
    <t>מ.יום אימוני-משה"</t>
  </si>
  <si>
    <t>מ.יום טיפולי-משה"</t>
  </si>
  <si>
    <t>שירותים תומכים-משה"</t>
  </si>
  <si>
    <t>הסעות למ.יום-משה"</t>
  </si>
  <si>
    <t>מועדון חברתי-משה"</t>
  </si>
  <si>
    <t>מפתן מקומי אחזקה"</t>
  </si>
  <si>
    <t>הערכות חירום</t>
  </si>
  <si>
    <t>מעשים-עולים"</t>
  </si>
  <si>
    <t>ס.במעונות-משה עולים"</t>
  </si>
  <si>
    <t>יתרת שכד לא מוגן39-"</t>
  </si>
  <si>
    <t>שכד לא מוגן"</t>
  </si>
  <si>
    <t>יתרת שכד מוגן38-"</t>
  </si>
  <si>
    <t>הכנסה מאיזי פארק פאנגו""</t>
  </si>
  <si>
    <t>תקורות עבור פרוקטים היטלי פיתוח</t>
  </si>
  <si>
    <t>לשכה שכע"</t>
  </si>
  <si>
    <t>לשכה- נסיעות ואשל"</t>
  </si>
  <si>
    <t>מדפסות ותקשורת-לשכה</t>
  </si>
  <si>
    <t>סקודה סופרב רהע 52-782-38"</t>
  </si>
  <si>
    <t>הנהלה 86-788-84 צחי וענונו</t>
  </si>
  <si>
    <t>הוצ.רכב 49-154-80 ליסינג</t>
  </si>
  <si>
    <t>מדפסות ותקשורת-מבקר</t>
  </si>
  <si>
    <t>מזכירות - הוצ' כיבוד</t>
  </si>
  <si>
    <t>מזכירות- אשל ונסיעות"</t>
  </si>
  <si>
    <t>הוצ.רכב 42-458-80 ליסינג</t>
  </si>
  <si>
    <t>מדפסות ותקשורת-מזכירות</t>
  </si>
  <si>
    <t>העברה לתבר"</t>
  </si>
  <si>
    <t>כיבודים דובר</t>
  </si>
  <si>
    <t>מדפסות ותקשורת-דובר</t>
  </si>
  <si>
    <t>מנגנון- הוצ' כיבוד</t>
  </si>
  <si>
    <t>כוח אדם-השתלמיות</t>
  </si>
  <si>
    <t>יועמש-משכורת ושכר משוב"</t>
  </si>
  <si>
    <t>יועמש- כיבודים"</t>
  </si>
  <si>
    <t>יועמש - אש"ל ונסיעות"</t>
  </si>
  <si>
    <t>יועמש השתלמויות"</t>
  </si>
  <si>
    <t>יועמש - ספרות מקצועית"</t>
  </si>
  <si>
    <t>יועמש-דמי חבר בארגוני"</t>
  </si>
  <si>
    <t>הוצאות רכב20-797-39 ליס</t>
  </si>
  <si>
    <t>יועמש-דואר"</t>
  </si>
  <si>
    <t>יועמש- הוצ' משרדיות"</t>
  </si>
  <si>
    <t>מדפסות ותקשורת-יועמש"</t>
  </si>
  <si>
    <t>יועמש-מיכון ועיבוד נת"</t>
  </si>
  <si>
    <t>יועמש- הוצ' משפטיות"</t>
  </si>
  <si>
    <t>יועמש עבודות קבלניות"</t>
  </si>
  <si>
    <t>יועמש-רכישת ציוד יסוד"</t>
  </si>
  <si>
    <t>יועמש- הוצ' אחרות"</t>
  </si>
  <si>
    <t>הוצ.רכב 34-942-55 ליסינג</t>
  </si>
  <si>
    <t>מדפסות ותקשורת-גזברות</t>
  </si>
  <si>
    <t>הנהח- הוצ' משרדיות"</t>
  </si>
  <si>
    <t>הנהח-מיכון ועיבוד נתונים"</t>
  </si>
  <si>
    <t>מדפסות ותקשורת-הנהח"</t>
  </si>
  <si>
    <t>הנהח - עבודות קבלניות"</t>
  </si>
  <si>
    <t>הנהח - הוצ' שונות"</t>
  </si>
  <si>
    <t>הנחש-רכישת ציוד יסודי"</t>
  </si>
  <si>
    <t>מדפסות ותקשורת-שכר</t>
  </si>
  <si>
    <t>גביה - הוצ' כיבוד</t>
  </si>
  <si>
    <t>גביה חומרים</t>
  </si>
  <si>
    <t>גביה- הוצ' אחרות</t>
  </si>
  <si>
    <t>קטנוע 86-795-84 איציק טליאס</t>
  </si>
  <si>
    <t>אינוונטר-כיבוד</t>
  </si>
  <si>
    <t>אינוונטר-ציוד משרדי</t>
  </si>
  <si>
    <t>אינווטר-הוצאות שונות</t>
  </si>
  <si>
    <t>שכע"</t>
  </si>
  <si>
    <t>מדפסות ותקשורת-תברואה</t>
  </si>
  <si>
    <t>חשמל</t>
  </si>
  <si>
    <t>שרותים צבוריים-עע"</t>
  </si>
  <si>
    <t>***יונדאי 48-718-37 ליסינג</t>
  </si>
  <si>
    <t>נקיון עע"</t>
  </si>
  <si>
    <t>הוצאות שונות אחזקת עע"</t>
  </si>
  <si>
    <t>***רכב 71-232-39 - ליסינג</t>
  </si>
  <si>
    <t>הוצ' קטנוע 86-794-84 נועם שגב</t>
  </si>
  <si>
    <t>אופנוע סאן יאנג 86-792-84 ישראל</t>
  </si>
  <si>
    <t>מדפסות ותקשורת-וטרינר</t>
  </si>
  <si>
    <t>רישוי עסקים-כיבוד</t>
  </si>
  <si>
    <t>נסיעות</t>
  </si>
  <si>
    <t>מיכון רישוי עסקים</t>
  </si>
  <si>
    <t>תקשורת ומדפסות-ביטחון</t>
  </si>
  <si>
    <t>תחזוקת מערכת שוב"</t>
  </si>
  <si>
    <t>העסקה רציפה מאבטחי מוסח"</t>
  </si>
  <si>
    <t>ביטחון-ריהוט וציוד</t>
  </si>
  <si>
    <t>אופנוע 86-787-84 מוטי בן עזרא</t>
  </si>
  <si>
    <t>הוצ' קטנוע 86-784-84 אלכס טרכטנברג</t>
  </si>
  <si>
    <t>הוצ' קטנוע 86-785-84 חאלד</t>
  </si>
  <si>
    <t>הוצ' קטנוע 86-789-84 שי דיין</t>
  </si>
  <si>
    <t>הגא-הוצ' חשמל"</t>
  </si>
  <si>
    <t>הגא מרחב"</t>
  </si>
  <si>
    <t>הגא"</t>
  </si>
  <si>
    <t>הוצאות רכב 46-854-38ליס</t>
  </si>
  <si>
    <t>מדפסות ותקשורת-הנדסה</t>
  </si>
  <si>
    <t>הוצ רכב 71-842-84 ליסינג</t>
  </si>
  <si>
    <t>נסיעות תכנון</t>
  </si>
  <si>
    <t>רכב 47-450-78 ליסינג</t>
  </si>
  <si>
    <t>מדפסות ותקשורת-הנדסה תכנון</t>
  </si>
  <si>
    <t>רישוי ובניה כיבודים</t>
  </si>
  <si>
    <t>רכב פיקוח הנדסי</t>
  </si>
  <si>
    <t>הוצ' קטנוע 22-959-74 אלישע לוגסי</t>
  </si>
  <si>
    <t>קטנוע לפקח רישוי</t>
  </si>
  <si>
    <t>חשמל-כיבוד</t>
  </si>
  <si>
    <t>רכב 65-799-84 ליסינג</t>
  </si>
  <si>
    <t>שכע יומיים"</t>
  </si>
  <si>
    <t>רכב גינון 65-797-84 - ליסינג</t>
  </si>
  <si>
    <t>משכורת שפע"</t>
  </si>
  <si>
    <t>שפע-כיבוד"</t>
  </si>
  <si>
    <t>שפע השתלמויות"</t>
  </si>
  <si>
    <t>ציוד משרדי לאגף שפע"</t>
  </si>
  <si>
    <t>מדפסות ותקשורת-שפע"</t>
  </si>
  <si>
    <t>שפע - חומרים"</t>
  </si>
  <si>
    <t>שפע-כלים,מכשירים,ציוד"</t>
  </si>
  <si>
    <t>שפע-הוצ אחרות"</t>
  </si>
  <si>
    <t>טנדר 35-698-55 גינון</t>
  </si>
  <si>
    <t>הוצ' רכב 71-232-39 חוף</t>
  </si>
  <si>
    <t>טרקטור 48-256-73</t>
  </si>
  <si>
    <t>אופנוע ים 48156</t>
  </si>
  <si>
    <t>נגרר לאופנוע ים 84-264-52</t>
  </si>
  <si>
    <t>-הוצ' קטנוע 86-790-84 האדר</t>
  </si>
  <si>
    <t>מוקד עירוני שכע"</t>
  </si>
  <si>
    <t>מוקד-כיבודים</t>
  </si>
  <si>
    <t>מוקד-ציוד משרדי</t>
  </si>
  <si>
    <t>מוקד עירוני-מיכון</t>
  </si>
  <si>
    <t>תקשורת ומדפסות-מוקד</t>
  </si>
  <si>
    <t>יעוץ לטובת שירותים עירוניים שונים</t>
  </si>
  <si>
    <t>דמי חבר משמ"</t>
  </si>
  <si>
    <t>חשמל עוזר רהע"</t>
  </si>
  <si>
    <t>הוצ. רכב 71-845-84ליסינג</t>
  </si>
  <si>
    <t>מדפסות ותקשורת-עוזר רהע"</t>
  </si>
  <si>
    <t>***הוצ. רכב 24-386-32 ליסינג</t>
  </si>
  <si>
    <t>עוזר רהע"</t>
  </si>
  <si>
    <t>מיכון ועיבוד נתונים והשכרת מסופונים</t>
  </si>
  <si>
    <t>מדפסות ותקשורת-פיקוח</t>
  </si>
  <si>
    <t>חפק חרום 90-636-74"</t>
  </si>
  <si>
    <t>חפק תאורה 90-840-75"</t>
  </si>
  <si>
    <t>חפק חרום מרכז הפעלה 90-429-79"</t>
  </si>
  <si>
    <t>טיפול בהפקים וגנרטורים"</t>
  </si>
  <si>
    <t>שיטור עירוני עובדים זמניים</t>
  </si>
  <si>
    <t>ארוחות שיטור עירוני</t>
  </si>
  <si>
    <t>הוצ אופנוע 86-786-84 יוחאי</t>
  </si>
  <si>
    <t>הוצ אופנוע 86-783-84 אסי ברשישת</t>
  </si>
  <si>
    <t>רכב 32-458-80 - ליסינג</t>
  </si>
  <si>
    <t>מדפסות ותקשורת מנהל חינוך</t>
  </si>
  <si>
    <t>חינוך השתת.בתבר תקציב רגיל"</t>
  </si>
  <si>
    <t>חינוך-ריהוט וציוד</t>
  </si>
  <si>
    <t>הוצ' קטנוע 86-793-84 נבראוי</t>
  </si>
  <si>
    <t>השתתפות למרכז גני מעי"</t>
  </si>
  <si>
    <t>משכורת גני ע.ג."</t>
  </si>
  <si>
    <t>פנימיות יום-גני-הוצ.א"</t>
  </si>
  <si>
    <t>פנימיות יום-מילת"</t>
  </si>
  <si>
    <t>שיפוצי קיץ מוסח"</t>
  </si>
  <si>
    <t>ברכת ישראל  יוחא"</t>
  </si>
  <si>
    <t>נקיון בתיס יסודיים"</t>
  </si>
  <si>
    <t>הזנה ביהס ניצנים"</t>
  </si>
  <si>
    <t>חנמ-הוצ' אחרות"</t>
  </si>
  <si>
    <t>משכורת_שרתים חנמ"</t>
  </si>
  <si>
    <t>נקיון חנמ"</t>
  </si>
  <si>
    <t>משכ' סייעות - חנמ"</t>
  </si>
  <si>
    <t>משכורת ביהס חנ"מ"</t>
  </si>
  <si>
    <t>פרח -השתתפות"</t>
  </si>
  <si>
    <t>תיכון דתי אמית"</t>
  </si>
  <si>
    <t>משכ' - קבט"</t>
  </si>
  <si>
    <t>ע.קבלניות-שמירה בתיס"</t>
  </si>
  <si>
    <t>משכ' - מרכז פסגה"</t>
  </si>
  <si>
    <t>מרפד הוצאות שונות"</t>
  </si>
  <si>
    <t>שפי-השתלמויות"</t>
  </si>
  <si>
    <t>מדפסות ותקשורת שפי"</t>
  </si>
  <si>
    <t>שירות פסיכולוגית ריהוט וציוד</t>
  </si>
  <si>
    <t>משכ' מזכירים - שפי"</t>
  </si>
  <si>
    <t>משכ' - קבסים"</t>
  </si>
  <si>
    <t>מתיא"</t>
  </si>
  <si>
    <t>מתיא שכפול"</t>
  </si>
  <si>
    <t>מנע-מים וחשמל"</t>
  </si>
  <si>
    <t>מנע-הוצ.תקשורת"</t>
  </si>
  <si>
    <t>פסטיבל עכו פרויקטים מחול"</t>
  </si>
  <si>
    <t>שיווק פרסום ויחצ"</t>
  </si>
  <si>
    <t>סיפריה שכע"</t>
  </si>
  <si>
    <t>ספריה-מיכון</t>
  </si>
  <si>
    <t>השתתפויות  מתנסים"</t>
  </si>
  <si>
    <t>שכע יומיים_תזמורת"</t>
  </si>
  <si>
    <t>מדפסות ותקשורת תזמורת</t>
  </si>
  <si>
    <t>סדרת מוצש"</t>
  </si>
  <si>
    <t>מדפסות ותקשורת ביד לבנים</t>
  </si>
  <si>
    <t>מרכז-פיס שכע"</t>
  </si>
  <si>
    <t>שכע יומיים_סעד"</t>
  </si>
  <si>
    <t>מדפסות ותקשורת מנהל רווחה</t>
  </si>
  <si>
    <t>שכר נושמים לרווחה עוצמנ</t>
  </si>
  <si>
    <t>מעון ממשלתי-משה"</t>
  </si>
  <si>
    <t>שכע זמניים"</t>
  </si>
  <si>
    <t>מעשים ."</t>
  </si>
  <si>
    <t>שכע מלווים הסעות"</t>
  </si>
  <si>
    <t>שכר טיפול בנוער וצעירים זמנם"</t>
  </si>
  <si>
    <t>מפתן-אחזקת מבנים"</t>
  </si>
  <si>
    <t>מפתן-הוצ' משרדיות"</t>
  </si>
  <si>
    <t>מעשים עולים"</t>
  </si>
  <si>
    <t>אחזקה ותפעול בית המורשת</t>
  </si>
  <si>
    <t>בית המורשת הוצאות שונות</t>
  </si>
  <si>
    <t>השתתפ.תקציב רגיל בתבר"</t>
  </si>
  <si>
    <t>קליטה-ארוח וכיבוד</t>
  </si>
  <si>
    <t>מדפסות ותקשורת-קליטה</t>
  </si>
  <si>
    <t>תקשורת ומדפסות-נכסים</t>
  </si>
  <si>
    <t>תכנון קידום פרויקטים</t>
  </si>
  <si>
    <t>נכסים-ריהוט וציוד</t>
  </si>
  <si>
    <t>חשמל ותקשורת-שוק</t>
  </si>
  <si>
    <t>מדפסות מחלקת מערכות מידע</t>
  </si>
  <si>
    <t>הוצ' קטנוע 86-791-84 דוד פרג'ון</t>
  </si>
  <si>
    <t>מדפסות ותקשורת רכב</t>
  </si>
  <si>
    <t>נגרר 63-846-15 מח רכב"</t>
  </si>
  <si>
    <t>רכב 67-026-31 כללי</t>
  </si>
  <si>
    <t>השתת.המשרד לביטחון פנים בשיטור קהילתי</t>
  </si>
  <si>
    <t>סקודה סופרב רה"ע 52-782-38</t>
  </si>
  <si>
    <t>מדפסות ותקשורת-יועמ"ש</t>
  </si>
  <si>
    <t>מדפסות ותקשורת-הנה"ח</t>
  </si>
  <si>
    <t>הוצאות שונות אחזקת ע"ע</t>
  </si>
  <si>
    <t>שפ"ע-כיבוד</t>
  </si>
  <si>
    <t>מדפסות ותקשורת-שפ"ע</t>
  </si>
  <si>
    <t>מדפסות ותקשורת-עוזר רה"ע</t>
  </si>
  <si>
    <t>טיפול בהפ"קים וגנרטורים</t>
  </si>
  <si>
    <t>מדפסות ותקשורת שפ"י</t>
  </si>
  <si>
    <t>שכר טיפול בנוער וצעירים זמנ"ם</t>
  </si>
  <si>
    <t>שאילתות משרד התחבורה</t>
  </si>
  <si>
    <t>תחזוקת מכשירי קשר</t>
  </si>
  <si>
    <t>אבטחת מאוימים</t>
  </si>
  <si>
    <t>השתתפות משרד הפנים באבטחת מאוימים</t>
  </si>
  <si>
    <t>תעריף ממוצע לחודש לפי ביצוע עד 10.2017</t>
  </si>
  <si>
    <t>מספר מטופלים עתידי</t>
  </si>
  <si>
    <t>סה"כ ביצוע צפוי 2018</t>
  </si>
  <si>
    <t>סה"כ צפי 2017</t>
  </si>
  <si>
    <t>חילוף מנהל</t>
  </si>
  <si>
    <t>אין פעילות</t>
  </si>
  <si>
    <t>נמשך מתא ולא מנוסחא</t>
  </si>
  <si>
    <t>סיוע לניצולי שואה</t>
  </si>
  <si>
    <t>הפעלת מעונות ממשלתיים</t>
  </si>
  <si>
    <t>יש לקבל השלמה</t>
  </si>
  <si>
    <t>מודוניות לחרשים</t>
  </si>
  <si>
    <t>טיפול אישי סעודי לנכ</t>
  </si>
  <si>
    <t>ההכנסות נרשמות בסעיף אחר</t>
  </si>
  <si>
    <t>נפגעות תקיפה מינית</t>
  </si>
  <si>
    <t>צעירים בקהילה</t>
  </si>
  <si>
    <t>נערות חוץ ביתי</t>
  </si>
  <si>
    <t>??</t>
  </si>
  <si>
    <t>שכר טיפול בילד בקהילה -מועדונית</t>
  </si>
  <si>
    <t>שכר עם הפנים לקהילה- מועדונית</t>
  </si>
  <si>
    <t xml:space="preserve">[4]   </t>
  </si>
  <si>
    <t>יתרה ל 16 כרטיסים</t>
  </si>
  <si>
    <t>העברה לתב"ר- מע"ש</t>
  </si>
  <si>
    <t>הצטיידות מע"ש +מצ'ינג בעיר ללא אלימות</t>
  </si>
  <si>
    <t xml:space="preserve">סעיף ללא ביצוע הזמנות רכש </t>
  </si>
  <si>
    <t>ניקח בחשבון שיש לנו בשיקום האסיר יתרת פתיחה של 100 אלש"ח. צריך לקחת בחשבון שיש לנו צפי לתקבולים נוספים בעמותה ב 2018 ועל כן כל נושא הרכש הכבד יילקח מכאן (כולל שיפוץ שירותים למועדון הזית בעלות של כ 50 אלש"ח)</t>
  </si>
  <si>
    <t>יש להעלות את הסוגיה של חופשים לעובד קבוע אס איי איץ עולה לנו המון...</t>
  </si>
  <si>
    <t>נקלח בחשבון למעלה</t>
  </si>
  <si>
    <t>יש בקשה להגדלה עבור ציוד לימודי 60 אלף + שי לחגים 120 אלף.</t>
  </si>
  <si>
    <t>מכאן תצא פאושלית לטובת שיפוצים דחופים במועדוניות וכן חומרי ניקוי וניירות טואלט</t>
  </si>
  <si>
    <t>שעות עבודה , צפי 2017 הוערך ב 170 אלש"ח.</t>
  </si>
  <si>
    <t>ניצול לפי תקציב בלבד-שעות עבודה</t>
  </si>
  <si>
    <t>אומנם מדובר בהועדות אבל תמיד יש מגנה של בריחה חזרה לקהילה לכן נקטין ל 100 מתקציב 2017</t>
  </si>
  <si>
    <t>הדרכות עוסי"ם- הועדות</t>
  </si>
  <si>
    <t>לילך תבדוק האם אמור לצאת מכאן עוד סכומים.</t>
  </si>
  <si>
    <t>יש לבדוק את הסכום העדכני</t>
  </si>
  <si>
    <t>דיווחים , אומנם התקציב עמד על 230 אלש"ח אולם הניצול בפועל מאוד מסובך ולעיתים גם לילך מוציאה משיקום האסיק על כן נוריד את התקציב לכדי 150 אלש"ח.</t>
  </si>
  <si>
    <t>הפעלת מועדוניות- יש הוצאות של טיפול בילדים שמקבלים ממשרד הרווחה בהועדות ויש את החלק שהרשות מפעילה ולא רואים את זה בהוצאות בדוח תקצוב והתחשבנות ויש את החלק של המשרד שכן מופיע בפקודות היומן של גלית. ככל הנראה ההחזר החודשי הינו הן על הפעילות הכוללת בסעיף דיווחים והועדות והן עבור משפחות אומנה כפי שמוצג בטבלה במרכזי הרווח</t>
  </si>
  <si>
    <t>החזר של 100%</t>
  </si>
  <si>
    <t>פעילות שלילך מבצעת , על פעילות זו לא מדווחים אלא מקבלים הועדות</t>
  </si>
  <si>
    <t>עשרים אלש"ח זה רק פעילות רשותית- יש החזר גבוה יותר בגלל ילדי חוץ</t>
  </si>
  <si>
    <t>בהתאם לדרישה אין סכום קבוע- שולחים למרכז מסויים כדי לטפל והכול בהתאם לצורך נקודתי</t>
  </si>
  <si>
    <t>הועדות ישירות בלי שום קשר למה שיוצא בסעיף, הפעילות מבוצעת ע"י העירייה</t>
  </si>
  <si>
    <t>הועדות</t>
  </si>
  <si>
    <t>בזק +בזק בילאומי</t>
  </si>
  <si>
    <t>ללא שיפוי ממשרד הרווחה- מדובר בהשתתפות שלנו עבור הפרויקט(מצ'ינג)</t>
  </si>
  <si>
    <t xml:space="preserve">פעולות שמבוצעות ברשות ויש עליהן הועדות=50000 ,לגבי 150000 מדובר בפרויקט חדש בזקנים ויש עליו הועדות וחלק ידווח </t>
  </si>
  <si>
    <t xml:space="preserve">פעילות שמבוצעת במרכז יום לקשיש ומתקבל החזר מלא </t>
  </si>
  <si>
    <t>שעות עבודה שמבוצעות ומתקבל החזר בהועדות</t>
  </si>
  <si>
    <t>פעילות מדווחת ומתקבל החזר עבור הפעילות ללא החזר על חשמל וטלפון</t>
  </si>
  <si>
    <t>פעילות שאיננה מדוווחת ויש הועדות- העירייה משלמת לספק(תגבור)</t>
  </si>
  <si>
    <t>סיוע לניצול שואה</t>
  </si>
  <si>
    <t>לילך תברר כמה החזר מתקבל עבור פעילות זו.</t>
  </si>
  <si>
    <t>הועדות של שעות- נוכחות ימים. לילך תשאל מדוע ב 2017 היה כ"כ נמוך האם יש צורך בתקצוב כ"כ גבוה??</t>
  </si>
  <si>
    <t xml:space="preserve">מדובר בחוזה מול מט"ב/הזמנה מול המתנ"ס- אנו מקבלים מנגד הועדות. </t>
  </si>
  <si>
    <t>מדובר על הפעלה מול המתנ"ס ויש הועדות</t>
  </si>
  <si>
    <t>סמך/הועדות</t>
  </si>
  <si>
    <t>ללא פעילות</t>
  </si>
  <si>
    <t>הועדות שמי שמקבל את הכסף עבור ההפעלה הוא המתנ"ס לילך משריינת רק את הסכומים שמתקבלים מהמשרד</t>
  </si>
  <si>
    <t>הפעלת מעונות ממשלתי</t>
  </si>
  <si>
    <t>בזק מעון יום הדקל</t>
  </si>
  <si>
    <t>הועדות אולם מי שמפעיל זה הרשות והרשות גם משלמת(מעון הדקל בלבד)</t>
  </si>
  <si>
    <t>הועדות- לילך עשתה חישוב מדוייק כי יש תערפים שונים לכול מטופל</t>
  </si>
  <si>
    <t>הועדות- שעות עבודה</t>
  </si>
  <si>
    <t>מחולק לשכר-מרכז למשפחה (תשלומי רשות) +הוצאות עבור שעות של כ 2 אלש"ח לחודש</t>
  </si>
  <si>
    <t>שעות -סמך</t>
  </si>
  <si>
    <t>דיווחים של לילך</t>
  </si>
  <si>
    <t>הועדות /שעות</t>
  </si>
  <si>
    <t>שעות</t>
  </si>
  <si>
    <t>אין פעילות(יצא מסעיף ראש העיר)</t>
  </si>
  <si>
    <t>הועדות שעות</t>
  </si>
  <si>
    <t>לילך תברר כמה עלות לאחד</t>
  </si>
  <si>
    <t>דיווח+הוצאות בזק</t>
  </si>
  <si>
    <t>איש אחד עם עלות של 4.3 אלש"ח+העברה חד פעמית ממשרד הרווחה עבור מועדון לעיוור בגין ההפעלה</t>
  </si>
  <si>
    <t>הכנסות מתקבלות מהמשרד אין צורך בדיווחים. מדובר בהוצאות של מתנ"ס 120 שכר +60 פעילות</t>
  </si>
  <si>
    <t>עבור ה 200 מתקבלות  הועדות ה 50 אלש"ח מדווחים</t>
  </si>
  <si>
    <t>ישנן הועדות ואנחנו מספקים להם את הצרכים לפי בפועל</t>
  </si>
  <si>
    <t xml:space="preserve">בזק </t>
  </si>
  <si>
    <t>דיווחים של יהודה</t>
  </si>
  <si>
    <t>לוקחים הערכה שתעזוב במהלך השנה.</t>
  </si>
  <si>
    <t>דיווחים</t>
  </si>
  <si>
    <t xml:space="preserve"> בזק =400+ 200 מטרופולינט</t>
  </si>
  <si>
    <t>בזק=326*12+ 13000*10+6500*2= דמי אחזקה לחניכים(בכסף זה קונים פרודוקטים ודברים נוספים)+הדברות 350+250 ק"ק+20000 לטיולים</t>
  </si>
  <si>
    <t>דיווח של לילך</t>
  </si>
  <si>
    <t>מפתן כולל כ"א</t>
  </si>
  <si>
    <t>עבור מנקה מחליף</t>
  </si>
  <si>
    <t>הוצאות לא מדווחות</t>
  </si>
  <si>
    <t>כולל מדפסות</t>
  </si>
  <si>
    <t>לא מדווח</t>
  </si>
  <si>
    <t>דיווח</t>
  </si>
  <si>
    <t>דובר דמי חבר</t>
  </si>
  <si>
    <t>הנה"ח- ניהול תביעות</t>
  </si>
  <si>
    <t>משכורות דמי חבר</t>
  </si>
  <si>
    <t>דמי חבר ואגרות וטרינר</t>
  </si>
  <si>
    <t>ריהוט וציוד וטרינר</t>
  </si>
  <si>
    <t>חשמל- תקשורת</t>
  </si>
  <si>
    <t>משכורות מערכות מידע</t>
  </si>
  <si>
    <t>כיבודים מערכות מידע</t>
  </si>
  <si>
    <t>ציוד משרדי מערכות מידע</t>
  </si>
  <si>
    <t>מיכון מערכות מידע</t>
  </si>
  <si>
    <t>מדפסות ותקשורת מערכות מידע</t>
  </si>
  <si>
    <t>הוצאות שונות מערכות מידע</t>
  </si>
  <si>
    <t>ריהוט וציוד מערכות מידע</t>
  </si>
  <si>
    <t>   השתלמויות מערכות מידע</t>
  </si>
  <si>
    <t>מדפסות ותקשורת ספריה</t>
  </si>
  <si>
    <t>תוכנית ניצנים</t>
  </si>
  <si>
    <t>הכנסות מהורים-ביטוח תאונות אישיות</t>
  </si>
  <si>
    <t>הכנסות ביטוח תאונות אישיות</t>
  </si>
  <si>
    <t>הכנסות סל תרבות</t>
  </si>
  <si>
    <t>מנוף +סל הרמה</t>
  </si>
  <si>
    <t>תקציב שנתי מאושר</t>
  </si>
  <si>
    <t>תקציב יחסי</t>
  </si>
  <si>
    <t>סטיה מהתקציב היחסי</t>
  </si>
  <si>
    <t>הכנסות מהורים-סל תרבות</t>
  </si>
  <si>
    <t>קנסות חניה-ו אכיפה</t>
  </si>
  <si>
    <t>1-12/17 - ניהול תביעות</t>
  </si>
  <si>
    <t>***טרקטור 13-165-28</t>
  </si>
  <si>
    <t>מיול עכו עתיקה</t>
  </si>
  <si>
    <t>***הוצ.רכב 24-386-32 ליסינג</t>
  </si>
  <si>
    <t>מוקד-חומרים</t>
  </si>
  <si>
    <t>שכר פרויקט חופים</t>
  </si>
  <si>
    <t>תקציב שהוטמע</t>
  </si>
  <si>
    <t>הכנסות בגין שרותי מחשוב</t>
  </si>
  <si>
    <t>תקורות הסכמי גג</t>
  </si>
  <si>
    <t>תקציב 2019</t>
  </si>
  <si>
    <t>ביצוע 2017</t>
  </si>
  <si>
    <t>2017</t>
  </si>
  <si>
    <t>2019</t>
  </si>
  <si>
    <t>ביצוע
 2017</t>
  </si>
  <si>
    <t>תקציב 
2019</t>
  </si>
  <si>
    <t>הצעת תקציב לשנת 2019</t>
  </si>
  <si>
    <t>ביצוע משוער 2018</t>
  </si>
  <si>
    <t>מסגרת תקציב לשנת 2019</t>
  </si>
  <si>
    <t>החזרים תאגיד-ת.מ.י.ר פינוי ודמ"ש קרטון</t>
  </si>
  <si>
    <t>השתתפות מש.הפנים באבטחת מאוימים</t>
  </si>
  <si>
    <t>חסויות פסטיבל מוסיקה-ערבסק</t>
  </si>
  <si>
    <t>חסויות פסטיבל הרשות לפיתוח הגליל</t>
  </si>
  <si>
    <t>הכנסות שרותי מחשוב</t>
  </si>
  <si>
    <t>סל תרבות הכנסה מהורים</t>
  </si>
  <si>
    <t>מלגות לתלמידים/תרומות לקונסרבטריון</t>
  </si>
  <si>
    <t>מרכזי עוצמה</t>
  </si>
  <si>
    <t>מיצוי זכויות לניצולי</t>
  </si>
  <si>
    <t>אחזקת נכים במש.אומנ</t>
  </si>
  <si>
    <t>סל תוכניות התנדבות</t>
  </si>
  <si>
    <t>תוכניות טיפול בעולים</t>
  </si>
  <si>
    <t>שכירות אפגד</t>
  </si>
  <si>
    <t>אגרת חניית מכוניות עגינה במרינה ו רכב דייגים</t>
  </si>
  <si>
    <t>סה"כ תקבולים</t>
  </si>
  <si>
    <t>סקודה סופרב רה"ע 52-782-38 ליסינג שמעון לנקרי</t>
  </si>
  <si>
    <t>הוצ.רכב 49-154-80 ליסינג נוימן זאב</t>
  </si>
  <si>
    <t>הוצ רכב מבקר 396-373-01 ליסינג יוסי כהן</t>
  </si>
  <si>
    <t>הוצ.רכב 42-458-80 ליסינג אוהד שגב</t>
  </si>
  <si>
    <t>דובר-דמי חבר</t>
  </si>
  <si>
    <t>מנגנון-שכר זמניים</t>
  </si>
  <si>
    <t>הוצאות רכב20-797-39 ליסינג כנרת הדר</t>
  </si>
  <si>
    <t>הוצ.רכב 34-942-55 ליסינג ראובן וייצמן</t>
  </si>
  <si>
    <t>ניהול תביעות</t>
  </si>
  <si>
    <t>משכורת- דמי חבר בארגונ</t>
  </si>
  <si>
    <t>***הוצ רכב 19-827-38 - ליסינג</t>
  </si>
  <si>
    <t>השתתפות ת.רגיל בתברים</t>
  </si>
  <si>
    <t>פרסום מכרזים מנהל תפעול</t>
  </si>
  <si>
    <t>***תברואה-58-236-00</t>
  </si>
  <si>
    <t>רכב 51-83915 גינון</t>
  </si>
  <si>
    <t>משאית אשפה 63-937-68 - יצחק לוי</t>
  </si>
  <si>
    <t>משאית אשפה 63-936-68 - צחי שמשון</t>
  </si>
  <si>
    <t>תברואה 36-909-501</t>
  </si>
  <si>
    <t>איסוזו- יניב -  119-093-01 ליסינג</t>
  </si>
  <si>
    <t>טרקטור 94-935-68 -שפע</t>
  </si>
  <si>
    <t>טרקטור 60-058-89</t>
  </si>
  <si>
    <t>הוצ' קטנוע 86-794-84 דקל ממו</t>
  </si>
  <si>
    <t>גינון 2572263 - אלי חקון</t>
  </si>
  <si>
    <t>***טנדר 35-698-55 - גינון נועם</t>
  </si>
  <si>
    <t>***טנדר 35-698-55 גינון</t>
  </si>
  <si>
    <t>מכסחת דשא 321723 - גינון</t>
  </si>
  <si>
    <t>וטרינר-ריהוט וציוד</t>
  </si>
  <si>
    <t>נגרר כלבים 9183714</t>
  </si>
  <si>
    <t>הוצ' רכב 119-128-01 ליסינג שיטור קהילתי</t>
  </si>
  <si>
    <t>הוצ' רכב 119-129-01 ליסינג פיקוח</t>
  </si>
  <si>
    <t>טרקטור 88-202-78 מיול פיקוח</t>
  </si>
  <si>
    <t>הוצ.רכב 49-726-37 - ליסינג איתן שליו</t>
  </si>
  <si>
    <t>הוצ' קטנוע 22-959-74</t>
  </si>
  <si>
    <t>הוצאות רכב 46-854-38ליסינג מיכל סופר</t>
  </si>
  <si>
    <t>הוצ רכב 71-842-84 ליסינג איגור</t>
  </si>
  <si>
    <t>רכב 47-450-78 ליסינג שי אללוף</t>
  </si>
  <si>
    <t>הוצ' קטנוע 10-818-65 אלישע לוגסי</t>
  </si>
  <si>
    <t>יונדאי 48-718-37 ליסינג עמוס טרבלסי</t>
  </si>
  <si>
    <t>קטנוע 86-790-84 - אורן אלטבה - הנדסה</t>
  </si>
  <si>
    <t>חשמל-תקשורת</t>
  </si>
  <si>
    <t>הנדסה-68-996-57 חשמל</t>
  </si>
  <si>
    <t>מנוף 95-147-64 - חושמל</t>
  </si>
  <si>
    <t>נגרר 96-311-15 חשמל תאורה</t>
  </si>
  <si>
    <t>גרור קטן 9446361 - חשמל</t>
  </si>
  <si>
    <t>רכב 65-799-84 ליסינג אלון בלום</t>
  </si>
  <si>
    <t>רכב 94-414-31 - חשמל</t>
  </si>
  <si>
    <t>רכב22-933-201 - ליסינג בני ברדוגו</t>
  </si>
  <si>
    <t>רכב 71-402-34 ליסינג יניב פרץ</t>
  </si>
  <si>
    <t>הוצ' 90-771-61 גרור גינון</t>
  </si>
  <si>
    <t>***טרקטור 88-202-78 - מיול גינון</t>
  </si>
  <si>
    <t>הוצ 22-167-64 שפע</t>
  </si>
  <si>
    <t>הוצ רכב 25-724-63 - שפע לב</t>
  </si>
  <si>
    <t>הוצ רכב 25-723-63 - שפע גרשון</t>
  </si>
  <si>
    <t>רכב ריסוס 70-179-17</t>
  </si>
  <si>
    <t>טנדר 35-698-55 גינון נועם</t>
  </si>
  <si>
    <t>רכב 25-721-63 שפע - אלכס</t>
  </si>
  <si>
    <t>הוצ טנדר 84-003-61 כבישים דני מלול</t>
  </si>
  <si>
    <t>מנוף+סל הרמה</t>
  </si>
  <si>
    <t>הוצ' רכב 71-232-39 חוף מימון נידם</t>
  </si>
  <si>
    <t>טרקטור 62-064-68 מיול חוף ארגמן</t>
  </si>
  <si>
    <t>רכב 92-181-32 - ליסינג אירועים</t>
  </si>
  <si>
    <t>הוצ' רכב 6215515 גרור ארועים</t>
  </si>
  <si>
    <t>הוצ' רכב 9283760 ארועים</t>
  </si>
  <si>
    <t>ארועים מיוחדים</t>
  </si>
  <si>
    <t>-הוצ' קטנוע 55-479-89 האדר</t>
  </si>
  <si>
    <t>אירועי תרבות</t>
  </si>
  <si>
    <t>הוצ. רכב 71-845-84ליסינג דוד חזן</t>
  </si>
  <si>
    <t>דמי חבר פיקוח וביטחון</t>
  </si>
  <si>
    <t>רכב 32-458-80 - ליסינג אורית אסייג</t>
  </si>
  <si>
    <t>רכב193-502-01 - ליסינג יוסי לוזון</t>
  </si>
  <si>
    <t>חינוך הוצאות שונות</t>
  </si>
  <si>
    <t>תרבות-הוצאות אחרות בלתי רגילות</t>
  </si>
  <si>
    <t>ספריה-כיבוד</t>
  </si>
  <si>
    <t>מדפסות ותקשורת-ספריה</t>
  </si>
  <si>
    <t>הוצ.רכב 49-728-37 - ליסינג דני ירון</t>
  </si>
  <si>
    <t>רווחה-שונות</t>
  </si>
  <si>
    <t>פרויקט חופים פעילות</t>
  </si>
  <si>
    <t>חשמל בית חם לנערות</t>
  </si>
  <si>
    <t>מפתן-ריהוט וציוד</t>
  </si>
  <si>
    <t>חשמל בית המורשת</t>
  </si>
  <si>
    <t>קליטה-ריהוט וציוד</t>
  </si>
  <si>
    <t>הוצ רכב 32-737-31 ליסינג מיקי</t>
  </si>
  <si>
    <t>רכישת רהוט וציוד</t>
  </si>
  <si>
    <t>משכורת מערכות מידע</t>
  </si>
  <si>
    <t>השתלמויות מערכות מידע</t>
  </si>
  <si>
    <t>חשמל-דירת חיילות</t>
  </si>
  <si>
    <t>כללי- 79-264-82 טרקטור חקלאי</t>
  </si>
  <si>
    <t>הוצ' רכב 87-392-32</t>
  </si>
  <si>
    <t>רכב 80-706-50</t>
  </si>
  <si>
    <t>הצעת תקציב 2019</t>
  </si>
  <si>
    <t>חדש</t>
  </si>
  <si>
    <t>ישן</t>
  </si>
  <si>
    <t>סה"כ פרק 1.25 נכסים ציבוריים</t>
  </si>
  <si>
    <t>שיווק מוניציפאלי-דובר</t>
  </si>
  <si>
    <t>השתלמויות רווחה</t>
  </si>
  <si>
    <t>חופים</t>
  </si>
  <si>
    <t>שכר זמניים טיפול בילד בקהילה -מועדונית</t>
  </si>
  <si>
    <t>מועדוניות לחרשים</t>
  </si>
  <si>
    <t>תברואה 36-909-601</t>
  </si>
  <si>
    <t>וטרינר עבודות קבלניות</t>
  </si>
  <si>
    <t>ציוד משרדי -רישוי עסקים</t>
  </si>
  <si>
    <t>ביטחון השתלמויות</t>
  </si>
  <si>
    <t>תחילת מידע טבלה</t>
  </si>
  <si>
    <t>תחילת מידע צד ימין</t>
  </si>
  <si>
    <t>סוף מידע צד שמאל</t>
  </si>
  <si>
    <t>סוף מידע טבלה</t>
  </si>
  <si>
    <t>סוף מידע</t>
  </si>
  <si>
    <t>מצורף גרף המציג את הנתונים המופיעים בטבלה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</si>
</sst>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 ;_ * \-#,##0.00_ ;_ * &quot;-&quot;??_ ;_ @_ "/>
    <numFmt numFmtId="165" formatCode="_ * #,##0_ ;_ * \-#,##0_ ;_ * &quot;-&quot;??_ ;_ @_ "/>
  </numFmts>
  <fonts count="67" x14ac:knownFonts="1">
    <font>
      <sz val="10"/>
      <name val="Arial"/>
      <charset val="177"/>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0"/>
      <name val="Arial"/>
      <family val="2"/>
    </font>
    <font>
      <sz val="10"/>
      <name val="Arial"/>
      <family val="2"/>
    </font>
    <font>
      <b/>
      <u/>
      <sz val="10"/>
      <name val="Arial"/>
      <family val="2"/>
    </font>
    <font>
      <b/>
      <sz val="10"/>
      <name val="David"/>
      <family val="2"/>
      <charset val="177"/>
    </font>
    <font>
      <b/>
      <sz val="10"/>
      <name val="Arial"/>
      <family val="2"/>
    </font>
    <font>
      <b/>
      <sz val="16"/>
      <name val="David"/>
      <family val="2"/>
      <charset val="177"/>
    </font>
    <font>
      <sz val="10"/>
      <name val="David"/>
      <family val="2"/>
      <charset val="177"/>
    </font>
    <font>
      <b/>
      <u/>
      <sz val="11"/>
      <name val="David"/>
      <family val="2"/>
      <charset val="177"/>
    </font>
    <font>
      <b/>
      <sz val="11"/>
      <name val="David"/>
      <family val="2"/>
      <charset val="177"/>
    </font>
    <font>
      <sz val="11"/>
      <name val="Arial"/>
      <family val="2"/>
    </font>
    <font>
      <u/>
      <sz val="10"/>
      <name val="David"/>
      <family val="2"/>
      <charset val="177"/>
    </font>
    <font>
      <b/>
      <sz val="8"/>
      <color indexed="81"/>
      <name val="Tahoma"/>
      <family val="2"/>
    </font>
    <font>
      <sz val="8"/>
      <color indexed="81"/>
      <name val="Tahoma"/>
      <family val="2"/>
    </font>
    <font>
      <b/>
      <i/>
      <sz val="11"/>
      <color indexed="13"/>
      <name val="Arial"/>
      <family val="2"/>
      <charset val="177"/>
    </font>
    <font>
      <b/>
      <i/>
      <sz val="10"/>
      <name val="Arial"/>
      <family val="2"/>
    </font>
    <font>
      <b/>
      <i/>
      <sz val="10"/>
      <name val="Arial"/>
      <family val="2"/>
      <charset val="177"/>
    </font>
    <font>
      <b/>
      <i/>
      <sz val="10"/>
      <color indexed="10"/>
      <name val="Arial"/>
      <family val="2"/>
      <charset val="177"/>
    </font>
    <font>
      <b/>
      <i/>
      <sz val="8"/>
      <name val="Arial"/>
      <family val="2"/>
      <charset val="177"/>
    </font>
    <font>
      <b/>
      <i/>
      <sz val="8"/>
      <color indexed="10"/>
      <name val="Arial"/>
      <family val="2"/>
      <charset val="177"/>
    </font>
    <font>
      <sz val="8"/>
      <name val="Arial"/>
      <family val="2"/>
    </font>
    <font>
      <b/>
      <sz val="11"/>
      <name val="Arial"/>
      <family val="2"/>
    </font>
    <font>
      <b/>
      <sz val="12"/>
      <name val="Arial"/>
      <family val="2"/>
    </font>
    <font>
      <sz val="14"/>
      <name val="Arial"/>
      <family val="2"/>
    </font>
    <font>
      <b/>
      <sz val="10"/>
      <name val="Arial Narrow"/>
      <family val="2"/>
    </font>
    <font>
      <sz val="10"/>
      <name val="Arial Narrow"/>
      <family val="2"/>
      <charset val="177"/>
    </font>
    <font>
      <b/>
      <sz val="11"/>
      <color indexed="48"/>
      <name val="Arial Narrow"/>
      <family val="2"/>
    </font>
    <font>
      <sz val="12"/>
      <name val="Arial"/>
      <family val="2"/>
    </font>
    <font>
      <sz val="10"/>
      <name val="Arial Narrow"/>
      <family val="2"/>
    </font>
    <font>
      <sz val="11"/>
      <color indexed="8"/>
      <name val="Arial"/>
      <family val="2"/>
      <charset val="177"/>
    </font>
    <font>
      <b/>
      <sz val="10"/>
      <name val="Arial"/>
      <family val="2"/>
    </font>
    <font>
      <sz val="8"/>
      <name val="Arial"/>
      <family val="2"/>
    </font>
    <font>
      <sz val="11"/>
      <color theme="1"/>
      <name val="Calibri"/>
      <family val="2"/>
      <charset val="177"/>
      <scheme val="minor"/>
    </font>
    <font>
      <sz val="10"/>
      <name val="Arial"/>
      <family val="2"/>
    </font>
    <font>
      <b/>
      <sz val="11"/>
      <color theme="1"/>
      <name val="Calibri"/>
      <family val="2"/>
      <scheme val="minor"/>
    </font>
    <font>
      <b/>
      <u val="singleAccounting"/>
      <sz val="10"/>
      <name val="Arial"/>
      <family val="2"/>
    </font>
    <font>
      <u/>
      <sz val="10"/>
      <name val="Arial"/>
      <family val="2"/>
    </font>
    <font>
      <b/>
      <u/>
      <sz val="14"/>
      <name val="Arial"/>
      <family val="2"/>
    </font>
    <font>
      <sz val="11"/>
      <color rgb="FF000000"/>
      <name val="Arial"/>
      <family val="2"/>
    </font>
    <font>
      <sz val="9"/>
      <color indexed="81"/>
      <name val="Tahoma"/>
      <family val="2"/>
    </font>
    <font>
      <b/>
      <sz val="9"/>
      <color indexed="81"/>
      <name val="Tahoma"/>
      <family val="2"/>
    </font>
    <font>
      <sz val="11"/>
      <color theme="1"/>
      <name val="Calibri"/>
      <family val="2"/>
      <scheme val="minor"/>
    </font>
    <font>
      <sz val="11"/>
      <name val="Calibri"/>
      <family val="2"/>
      <charset val="177"/>
      <scheme val="minor"/>
    </font>
    <font>
      <b/>
      <sz val="11"/>
      <name val="Calibri"/>
      <family val="2"/>
      <charset val="177"/>
      <scheme val="minor"/>
    </font>
    <font>
      <sz val="11"/>
      <color theme="1"/>
      <name val="Arial"/>
      <family val="2"/>
    </font>
    <font>
      <b/>
      <sz val="11"/>
      <color theme="1"/>
      <name val="Arial"/>
      <family val="2"/>
    </font>
    <font>
      <sz val="10"/>
      <color theme="0"/>
      <name val="Arial"/>
      <family val="2"/>
    </font>
    <font>
      <b/>
      <sz val="10"/>
      <color theme="0"/>
      <name val="David"/>
      <family val="2"/>
      <charset val="177"/>
    </font>
    <font>
      <b/>
      <i/>
      <sz val="10"/>
      <color theme="0"/>
      <name val="Arial"/>
      <family val="2"/>
    </font>
    <font>
      <sz val="10"/>
      <color rgb="FFFFFFFF"/>
      <name val="Arial"/>
      <family val="2"/>
    </font>
  </fonts>
  <fills count="16">
    <fill>
      <patternFill patternType="none"/>
    </fill>
    <fill>
      <patternFill patternType="gray125"/>
    </fill>
    <fill>
      <patternFill patternType="solid">
        <fgColor indexed="51"/>
        <bgColor indexed="64"/>
      </patternFill>
    </fill>
    <fill>
      <patternFill patternType="solid">
        <fgColor indexed="10"/>
        <bgColor indexed="64"/>
      </patternFill>
    </fill>
    <fill>
      <patternFill patternType="solid">
        <fgColor indexed="13"/>
        <bgColor indexed="64"/>
      </patternFill>
    </fill>
    <fill>
      <patternFill patternType="solid">
        <fgColor indexed="11"/>
        <bgColor indexed="64"/>
      </patternFill>
    </fill>
    <fill>
      <patternFill patternType="solid">
        <fgColor indexed="50"/>
        <bgColor indexed="64"/>
      </patternFill>
    </fill>
    <fill>
      <patternFill patternType="solid">
        <fgColor indexed="15"/>
        <bgColor indexed="64"/>
      </patternFill>
    </fill>
    <fill>
      <patternFill patternType="solid">
        <fgColor indexed="30"/>
        <bgColor indexed="64"/>
      </patternFill>
    </fill>
    <fill>
      <patternFill patternType="solid">
        <fgColor indexed="22"/>
        <bgColor indexed="64"/>
      </patternFill>
    </fill>
    <fill>
      <patternFill patternType="solid">
        <fgColor rgb="FF92D050"/>
        <bgColor indexed="64"/>
      </patternFill>
    </fill>
    <fill>
      <patternFill patternType="solid">
        <fgColor rgb="FFFFFF00"/>
        <bgColor indexed="64"/>
      </patternFill>
    </fill>
    <fill>
      <patternFill patternType="solid">
        <fgColor theme="6"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5" tint="0.59999389629810485"/>
        <bgColor indexed="64"/>
      </patternFill>
    </fill>
  </fills>
  <borders count="60">
    <border>
      <left/>
      <right/>
      <top/>
      <bottom/>
      <diagonal/>
    </border>
    <border>
      <left style="medium">
        <color indexed="64"/>
      </left>
      <right style="medium">
        <color indexed="64"/>
      </right>
      <top style="medium">
        <color indexed="64"/>
      </top>
      <bottom style="medium">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hair">
        <color indexed="64"/>
      </right>
      <top style="hair">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thin">
        <color indexed="64"/>
      </bottom>
      <diagonal/>
    </border>
    <border>
      <left/>
      <right/>
      <top/>
      <bottom style="double">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style="thin">
        <color indexed="64"/>
      </top>
      <bottom style="double">
        <color indexed="64"/>
      </bottom>
      <diagonal/>
    </border>
    <border>
      <left style="medium">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double">
        <color indexed="64"/>
      </bottom>
      <diagonal/>
    </border>
    <border>
      <left/>
      <right/>
      <top/>
      <bottom style="thin">
        <color indexed="64"/>
      </bottom>
      <diagonal/>
    </border>
    <border>
      <left style="hair">
        <color indexed="64"/>
      </left>
      <right/>
      <top style="thin">
        <color indexed="64"/>
      </top>
      <bottom style="dashed">
        <color indexed="64"/>
      </bottom>
      <diagonal/>
    </border>
    <border>
      <left style="hair">
        <color indexed="64"/>
      </left>
      <right/>
      <top style="hair">
        <color indexed="64"/>
      </top>
      <bottom style="hair">
        <color indexed="64"/>
      </bottom>
      <diagonal/>
    </border>
    <border>
      <left style="hair">
        <color indexed="64"/>
      </left>
      <right/>
      <top style="thin">
        <color indexed="64"/>
      </top>
      <bottom style="double">
        <color indexed="64"/>
      </bottom>
      <diagonal/>
    </border>
    <border>
      <left style="hair">
        <color indexed="64"/>
      </left>
      <right/>
      <top/>
      <bottom style="hair">
        <color indexed="64"/>
      </bottom>
      <diagonal/>
    </border>
    <border>
      <left style="hair">
        <color indexed="64"/>
      </left>
      <right/>
      <top style="hair">
        <color indexed="64"/>
      </top>
      <bottom/>
      <diagonal/>
    </border>
    <border>
      <left style="hair">
        <color indexed="64"/>
      </left>
      <right/>
      <top/>
      <bottom/>
      <diagonal/>
    </border>
    <border>
      <left/>
      <right/>
      <top style="thin">
        <color indexed="64"/>
      </top>
      <bottom style="dashed">
        <color indexed="64"/>
      </bottom>
      <diagonal/>
    </border>
    <border>
      <left/>
      <right/>
      <top style="hair">
        <color indexed="64"/>
      </top>
      <bottom/>
      <diagonal/>
    </border>
    <border>
      <left/>
      <right/>
      <top style="thin">
        <color indexed="64"/>
      </top>
      <bottom style="double">
        <color indexed="64"/>
      </bottom>
      <diagonal/>
    </border>
    <border>
      <left/>
      <right/>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style="medium">
        <color indexed="64"/>
      </bottom>
      <diagonal/>
    </border>
    <border>
      <left/>
      <right/>
      <top/>
      <bottom style="hair">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
      <left/>
      <right style="medium">
        <color indexed="64"/>
      </right>
      <top/>
      <bottom/>
      <diagonal/>
    </border>
    <border>
      <left/>
      <right style="thin">
        <color indexed="64"/>
      </right>
      <top/>
      <bottom/>
      <diagonal/>
    </border>
    <border>
      <left style="medium">
        <color indexed="64"/>
      </left>
      <right/>
      <top/>
      <bottom/>
      <diagonal/>
    </border>
  </borders>
  <cellStyleXfs count="39">
    <xf numFmtId="0" fontId="0" fillId="0" borderId="0"/>
    <xf numFmtId="164" fontId="18" fillId="0" borderId="0" applyFont="0" applyFill="0" applyBorder="0" applyAlignment="0" applyProtection="0"/>
    <xf numFmtId="164" fontId="19" fillId="0" borderId="0" applyFont="0" applyFill="0" applyBorder="0" applyAlignment="0" applyProtection="0"/>
    <xf numFmtId="164" fontId="18" fillId="0" borderId="0" applyFont="0" applyFill="0" applyBorder="0" applyAlignment="0" applyProtection="0"/>
    <xf numFmtId="164" fontId="46" fillId="0" borderId="0" applyFont="0" applyFill="0" applyBorder="0" applyAlignment="0" applyProtection="0"/>
    <xf numFmtId="0" fontId="19" fillId="0" borderId="0"/>
    <xf numFmtId="0" fontId="18" fillId="0" borderId="0"/>
    <xf numFmtId="0" fontId="49" fillId="0" borderId="0"/>
    <xf numFmtId="0" fontId="18" fillId="0" borderId="0"/>
    <xf numFmtId="9" fontId="18" fillId="0" borderId="0" applyFont="0" applyFill="0" applyBorder="0" applyAlignment="0" applyProtection="0"/>
    <xf numFmtId="9" fontId="19" fillId="0" borderId="0" applyFont="0" applyFill="0" applyBorder="0" applyAlignment="0" applyProtection="0"/>
    <xf numFmtId="0" fontId="17" fillId="0" borderId="0"/>
    <xf numFmtId="0" fontId="50" fillId="0" borderId="0"/>
    <xf numFmtId="164" fontId="18" fillId="0" borderId="0" applyFont="0" applyFill="0" applyBorder="0" applyAlignment="0" applyProtection="0"/>
    <xf numFmtId="0" fontId="17" fillId="0" borderId="0"/>
    <xf numFmtId="9" fontId="18" fillId="0" borderId="0" applyFont="0" applyFill="0" applyBorder="0" applyAlignment="0" applyProtection="0"/>
    <xf numFmtId="9" fontId="18" fillId="0" borderId="0" applyFont="0" applyFill="0" applyBorder="0" applyAlignment="0" applyProtection="0"/>
    <xf numFmtId="0" fontId="16" fillId="0" borderId="0"/>
    <xf numFmtId="0" fontId="15" fillId="0" borderId="0"/>
    <xf numFmtId="0" fontId="18" fillId="0" borderId="0"/>
    <xf numFmtId="164" fontId="18" fillId="0" borderId="0" applyFont="0" applyFill="0" applyBorder="0" applyAlignment="0" applyProtection="0"/>
    <xf numFmtId="0" fontId="15" fillId="0" borderId="0"/>
    <xf numFmtId="9" fontId="18" fillId="0" borderId="0" applyFont="0" applyFill="0" applyBorder="0" applyAlignment="0" applyProtection="0"/>
    <xf numFmtId="0" fontId="15" fillId="0" borderId="0"/>
    <xf numFmtId="0" fontId="18" fillId="0" borderId="0"/>
    <xf numFmtId="0" fontId="15" fillId="0" borderId="0"/>
    <xf numFmtId="0" fontId="15" fillId="0" borderId="0"/>
    <xf numFmtId="0" fontId="14" fillId="0" borderId="0"/>
    <xf numFmtId="164" fontId="14" fillId="0" borderId="0" applyFont="0" applyFill="0" applyBorder="0" applyAlignment="0" applyProtection="0"/>
    <xf numFmtId="0" fontId="5" fillId="0" borderId="0"/>
    <xf numFmtId="164" fontId="5" fillId="0" borderId="0" applyFont="0" applyFill="0" applyBorder="0" applyAlignment="0" applyProtection="0"/>
    <xf numFmtId="0" fontId="4" fillId="0" borderId="0"/>
    <xf numFmtId="164" fontId="4" fillId="0" borderId="0" applyFont="0" applyFill="0" applyBorder="0" applyAlignment="0" applyProtection="0"/>
    <xf numFmtId="0" fontId="3" fillId="0" borderId="0"/>
    <xf numFmtId="164" fontId="3" fillId="0" borderId="0" applyFont="0" applyFill="0" applyBorder="0" applyAlignment="0" applyProtection="0"/>
    <xf numFmtId="0" fontId="2" fillId="0" borderId="0"/>
    <xf numFmtId="164" fontId="2" fillId="0" borderId="0" applyFont="0" applyFill="0" applyBorder="0" applyAlignment="0" applyProtection="0"/>
    <xf numFmtId="0" fontId="1" fillId="0" borderId="0"/>
    <xf numFmtId="164" fontId="1" fillId="0" borderId="0" applyFont="0" applyFill="0" applyBorder="0" applyAlignment="0" applyProtection="0"/>
  </cellStyleXfs>
  <cellXfs count="384">
    <xf numFmtId="0" fontId="0" fillId="0" borderId="0" xfId="0"/>
    <xf numFmtId="4" fontId="0" fillId="0" borderId="0" xfId="0" applyNumberFormat="1"/>
    <xf numFmtId="0" fontId="19" fillId="0" borderId="0" xfId="5"/>
    <xf numFmtId="0" fontId="22" fillId="0" borderId="0" xfId="5" applyFont="1"/>
    <xf numFmtId="0" fontId="23" fillId="0" borderId="1" xfId="5" applyFont="1" applyBorder="1"/>
    <xf numFmtId="0" fontId="24" fillId="0" borderId="2" xfId="5" applyFont="1" applyBorder="1"/>
    <xf numFmtId="0" fontId="24" fillId="0" borderId="3" xfId="5" applyFont="1" applyBorder="1"/>
    <xf numFmtId="0" fontId="25" fillId="0" borderId="3" xfId="5" applyFont="1" applyBorder="1"/>
    <xf numFmtId="0" fontId="19" fillId="0" borderId="0" xfId="5" applyBorder="1"/>
    <xf numFmtId="165" fontId="19" fillId="0" borderId="0" xfId="5" applyNumberFormat="1"/>
    <xf numFmtId="0" fontId="28" fillId="0" borderId="3" xfId="5" applyFont="1" applyBorder="1"/>
    <xf numFmtId="0" fontId="26" fillId="0" borderId="3" xfId="5" applyFont="1" applyBorder="1"/>
    <xf numFmtId="0" fontId="19" fillId="0" borderId="0" xfId="5" applyFont="1" applyBorder="1"/>
    <xf numFmtId="0" fontId="20" fillId="0" borderId="0" xfId="0" applyFont="1"/>
    <xf numFmtId="165" fontId="20" fillId="0" borderId="0" xfId="2" applyNumberFormat="1" applyFont="1"/>
    <xf numFmtId="165" fontId="0" fillId="0" borderId="0" xfId="2" applyNumberFormat="1" applyFont="1"/>
    <xf numFmtId="4" fontId="0" fillId="2" borderId="0" xfId="0" applyNumberFormat="1" applyFill="1"/>
    <xf numFmtId="0" fontId="19" fillId="0" borderId="0" xfId="0" applyFont="1" applyBorder="1" applyAlignment="1">
      <alignment wrapText="1"/>
    </xf>
    <xf numFmtId="0" fontId="19" fillId="0" borderId="1" xfId="0" applyFont="1" applyBorder="1" applyAlignment="1">
      <alignment horizontal="center" wrapText="1"/>
    </xf>
    <xf numFmtId="0" fontId="19" fillId="0" borderId="0" xfId="0" applyFont="1"/>
    <xf numFmtId="0" fontId="0" fillId="0" borderId="0" xfId="0" applyBorder="1" applyAlignment="1">
      <alignment wrapText="1"/>
    </xf>
    <xf numFmtId="0" fontId="0" fillId="0" borderId="1" xfId="0" applyBorder="1" applyAlignment="1">
      <alignment horizontal="center" wrapText="1"/>
    </xf>
    <xf numFmtId="4" fontId="22" fillId="0" borderId="0" xfId="0" applyNumberFormat="1" applyFont="1"/>
    <xf numFmtId="9" fontId="31" fillId="3" borderId="0" xfId="10" applyFont="1" applyFill="1" applyAlignment="1">
      <alignment horizontal="center"/>
    </xf>
    <xf numFmtId="0" fontId="32" fillId="4" borderId="7" xfId="5" applyFont="1" applyFill="1" applyBorder="1" applyAlignment="1">
      <alignment horizontal="center" wrapText="1"/>
    </xf>
    <xf numFmtId="9" fontId="33" fillId="5" borderId="8" xfId="10" applyFont="1" applyFill="1" applyBorder="1" applyAlignment="1">
      <alignment horizontal="center"/>
    </xf>
    <xf numFmtId="0" fontId="32" fillId="4" borderId="9" xfId="5" applyFont="1" applyFill="1" applyBorder="1" applyAlignment="1">
      <alignment horizontal="center"/>
    </xf>
    <xf numFmtId="0" fontId="32" fillId="4" borderId="9" xfId="5" applyFont="1" applyFill="1" applyBorder="1" applyAlignment="1">
      <alignment horizontal="center" wrapText="1"/>
    </xf>
    <xf numFmtId="0" fontId="33" fillId="4" borderId="10" xfId="5" applyFont="1" applyFill="1" applyBorder="1" applyAlignment="1">
      <alignment horizontal="center"/>
    </xf>
    <xf numFmtId="9" fontId="33" fillId="5" borderId="11" xfId="10" applyFont="1" applyFill="1" applyBorder="1" applyAlignment="1">
      <alignment horizontal="center"/>
    </xf>
    <xf numFmtId="0" fontId="33" fillId="4" borderId="10" xfId="5" applyFont="1" applyFill="1" applyBorder="1" applyAlignment="1">
      <alignment horizontal="center" wrapText="1"/>
    </xf>
    <xf numFmtId="9" fontId="19" fillId="0" borderId="0" xfId="5" applyNumberFormat="1"/>
    <xf numFmtId="9" fontId="0" fillId="0" borderId="0" xfId="10" applyFont="1"/>
    <xf numFmtId="0" fontId="33" fillId="4" borderId="7" xfId="5" applyFont="1" applyFill="1" applyBorder="1" applyAlignment="1">
      <alignment horizontal="center"/>
    </xf>
    <xf numFmtId="9" fontId="0" fillId="0" borderId="0" xfId="10" applyFont="1" applyAlignment="1">
      <alignment horizontal="center"/>
    </xf>
    <xf numFmtId="0" fontId="21" fillId="0" borderId="6" xfId="5" applyFont="1" applyBorder="1"/>
    <xf numFmtId="165" fontId="21" fillId="0" borderId="6" xfId="2" applyNumberFormat="1" applyFont="1" applyBorder="1"/>
    <xf numFmtId="165" fontId="22" fillId="0" borderId="0" xfId="2" applyNumberFormat="1" applyFont="1"/>
    <xf numFmtId="0" fontId="35" fillId="4" borderId="12" xfId="5" applyFont="1" applyFill="1" applyBorder="1" applyAlignment="1">
      <alignment horizontal="center"/>
    </xf>
    <xf numFmtId="49" fontId="36" fillId="5" borderId="13" xfId="2" applyNumberFormat="1" applyFont="1" applyFill="1" applyBorder="1" applyAlignment="1">
      <alignment horizontal="center" wrapText="1"/>
    </xf>
    <xf numFmtId="0" fontId="37" fillId="0" borderId="0" xfId="5" applyFont="1" applyAlignment="1">
      <alignment horizontal="center" wrapText="1"/>
    </xf>
    <xf numFmtId="0" fontId="24" fillId="0" borderId="6" xfId="5" applyFont="1" applyBorder="1"/>
    <xf numFmtId="165" fontId="24" fillId="0" borderId="6" xfId="2" applyNumberFormat="1" applyFont="1" applyBorder="1"/>
    <xf numFmtId="0" fontId="0" fillId="6" borderId="0" xfId="0" applyFill="1"/>
    <xf numFmtId="0" fontId="18" fillId="0" borderId="1" xfId="0" applyFont="1" applyBorder="1" applyAlignment="1">
      <alignment horizontal="center" wrapText="1"/>
    </xf>
    <xf numFmtId="0" fontId="18" fillId="0" borderId="0" xfId="8"/>
    <xf numFmtId="165" fontId="33" fillId="0" borderId="0" xfId="1" applyNumberFormat="1" applyFont="1" applyAlignment="1">
      <alignment horizontal="center"/>
    </xf>
    <xf numFmtId="0" fontId="33" fillId="0" borderId="0" xfId="8" applyFont="1" applyAlignment="1">
      <alignment horizontal="center"/>
    </xf>
    <xf numFmtId="165" fontId="33" fillId="7" borderId="14" xfId="1" applyNumberFormat="1" applyFont="1" applyFill="1" applyBorder="1" applyAlignment="1">
      <alignment horizontal="center"/>
    </xf>
    <xf numFmtId="0" fontId="33" fillId="4" borderId="15" xfId="8" applyFont="1" applyFill="1" applyBorder="1" applyAlignment="1">
      <alignment horizontal="center"/>
    </xf>
    <xf numFmtId="0" fontId="33" fillId="4" borderId="9" xfId="8" applyFont="1" applyFill="1" applyBorder="1" applyAlignment="1">
      <alignment horizontal="center"/>
    </xf>
    <xf numFmtId="0" fontId="33" fillId="4" borderId="10" xfId="8" applyFont="1" applyFill="1" applyBorder="1" applyAlignment="1">
      <alignment horizontal="center"/>
    </xf>
    <xf numFmtId="0" fontId="33" fillId="4" borderId="16" xfId="8" applyFont="1" applyFill="1" applyBorder="1" applyAlignment="1">
      <alignment horizontal="center"/>
    </xf>
    <xf numFmtId="49" fontId="34" fillId="5" borderId="13" xfId="1" applyNumberFormat="1" applyFont="1" applyFill="1" applyBorder="1" applyAlignment="1">
      <alignment horizontal="center"/>
    </xf>
    <xf numFmtId="49" fontId="34" fillId="7" borderId="17" xfId="1" applyNumberFormat="1" applyFont="1" applyFill="1" applyBorder="1" applyAlignment="1">
      <alignment horizontal="center" wrapText="1"/>
    </xf>
    <xf numFmtId="0" fontId="33" fillId="4" borderId="12" xfId="8" applyFont="1" applyFill="1" applyBorder="1" applyAlignment="1">
      <alignment horizontal="center"/>
    </xf>
    <xf numFmtId="0" fontId="22" fillId="0" borderId="0" xfId="0" applyFont="1"/>
    <xf numFmtId="0" fontId="18" fillId="0" borderId="0" xfId="0" applyFont="1"/>
    <xf numFmtId="165" fontId="0" fillId="0" borderId="0" xfId="1" applyNumberFormat="1" applyFont="1"/>
    <xf numFmtId="0" fontId="0" fillId="4" borderId="0" xfId="0" applyFill="1"/>
    <xf numFmtId="0" fontId="0" fillId="8" borderId="0" xfId="0" applyFill="1"/>
    <xf numFmtId="0" fontId="24" fillId="0" borderId="5" xfId="5" applyFont="1" applyBorder="1"/>
    <xf numFmtId="0" fontId="18" fillId="0" borderId="0" xfId="5" applyFont="1"/>
    <xf numFmtId="0" fontId="41" fillId="0" borderId="18" xfId="5" applyFont="1" applyBorder="1" applyAlignment="1">
      <alignment horizontal="center"/>
    </xf>
    <xf numFmtId="0" fontId="42" fillId="0" borderId="19" xfId="5" applyFont="1" applyBorder="1" applyAlignment="1">
      <alignment horizontal="center"/>
    </xf>
    <xf numFmtId="0" fontId="22" fillId="0" borderId="20" xfId="5" applyFont="1" applyBorder="1" applyAlignment="1">
      <alignment horizontal="center"/>
    </xf>
    <xf numFmtId="0" fontId="22" fillId="0" borderId="21" xfId="5" applyFont="1" applyBorder="1" applyAlignment="1">
      <alignment horizontal="center"/>
    </xf>
    <xf numFmtId="0" fontId="22" fillId="0" borderId="1" xfId="5" applyFont="1" applyBorder="1" applyAlignment="1">
      <alignment horizontal="center"/>
    </xf>
    <xf numFmtId="0" fontId="42" fillId="0" borderId="21" xfId="5" applyFont="1" applyBorder="1" applyAlignment="1">
      <alignment horizontal="center"/>
    </xf>
    <xf numFmtId="0" fontId="43" fillId="0" borderId="19" xfId="5" applyFont="1" applyBorder="1"/>
    <xf numFmtId="0" fontId="42" fillId="0" borderId="1" xfId="5" applyFont="1" applyBorder="1"/>
    <xf numFmtId="0" fontId="42" fillId="0" borderId="22" xfId="5" applyFont="1" applyBorder="1"/>
    <xf numFmtId="0" fontId="42" fillId="0" borderId="23" xfId="5" applyFont="1" applyBorder="1" applyAlignment="1">
      <alignment horizontal="center"/>
    </xf>
    <xf numFmtId="0" fontId="42" fillId="0" borderId="23" xfId="5" applyFont="1" applyBorder="1"/>
    <xf numFmtId="3" fontId="42" fillId="0" borderId="7" xfId="5" applyNumberFormat="1" applyFont="1" applyBorder="1"/>
    <xf numFmtId="0" fontId="42" fillId="0" borderId="8" xfId="5" applyFont="1" applyBorder="1"/>
    <xf numFmtId="3" fontId="42" fillId="0" borderId="9" xfId="5" applyNumberFormat="1" applyFont="1" applyBorder="1"/>
    <xf numFmtId="3" fontId="42" fillId="0" borderId="24" xfId="5" applyNumberFormat="1" applyFont="1" applyBorder="1"/>
    <xf numFmtId="0" fontId="42" fillId="0" borderId="25" xfId="5" applyFont="1" applyBorder="1"/>
    <xf numFmtId="0" fontId="41" fillId="0" borderId="23" xfId="5" applyFont="1" applyBorder="1"/>
    <xf numFmtId="3" fontId="22" fillId="0" borderId="9" xfId="5" applyNumberFormat="1" applyFont="1" applyBorder="1"/>
    <xf numFmtId="0" fontId="42" fillId="0" borderId="9" xfId="5" applyFont="1" applyBorder="1"/>
    <xf numFmtId="0" fontId="42" fillId="0" borderId="24" xfId="5" applyFont="1" applyBorder="1"/>
    <xf numFmtId="3" fontId="42" fillId="0" borderId="25" xfId="5" applyNumberFormat="1" applyFont="1" applyBorder="1"/>
    <xf numFmtId="3" fontId="22" fillId="0" borderId="26" xfId="5" applyNumberFormat="1" applyFont="1" applyBorder="1"/>
    <xf numFmtId="3" fontId="42" fillId="0" borderId="6" xfId="5" applyNumberFormat="1" applyFont="1" applyBorder="1"/>
    <xf numFmtId="1" fontId="42" fillId="0" borderId="25" xfId="5" applyNumberFormat="1" applyFont="1" applyBorder="1" applyAlignment="1">
      <alignment horizontal="right"/>
    </xf>
    <xf numFmtId="0" fontId="42" fillId="0" borderId="27" xfId="5" applyFont="1" applyBorder="1" applyAlignment="1">
      <alignment horizontal="center"/>
    </xf>
    <xf numFmtId="0" fontId="42" fillId="0" borderId="27" xfId="5" applyFont="1" applyBorder="1"/>
    <xf numFmtId="3" fontId="42" fillId="0" borderId="15" xfId="5" applyNumberFormat="1" applyFont="1" applyBorder="1"/>
    <xf numFmtId="3" fontId="42" fillId="0" borderId="28" xfId="5" applyNumberFormat="1" applyFont="1" applyBorder="1"/>
    <xf numFmtId="3" fontId="42" fillId="0" borderId="11" xfId="5" applyNumberFormat="1" applyFont="1" applyBorder="1"/>
    <xf numFmtId="3" fontId="42" fillId="0" borderId="0" xfId="5" applyNumberFormat="1" applyFont="1"/>
    <xf numFmtId="3" fontId="18" fillId="0" borderId="0" xfId="5" applyNumberFormat="1" applyFont="1"/>
    <xf numFmtId="3" fontId="22" fillId="0" borderId="23" xfId="5" applyNumberFormat="1" applyFont="1" applyBorder="1"/>
    <xf numFmtId="0" fontId="0" fillId="0" borderId="0" xfId="0" applyBorder="1"/>
    <xf numFmtId="3" fontId="42" fillId="0" borderId="23" xfId="5" applyNumberFormat="1" applyFont="1" applyBorder="1"/>
    <xf numFmtId="0" fontId="41" fillId="0" borderId="27" xfId="5" applyFont="1" applyBorder="1"/>
    <xf numFmtId="3" fontId="22" fillId="0" borderId="15" xfId="5" applyNumberFormat="1" applyFont="1" applyBorder="1"/>
    <xf numFmtId="3" fontId="22" fillId="0" borderId="27" xfId="5" applyNumberFormat="1" applyFont="1" applyBorder="1"/>
    <xf numFmtId="0" fontId="42" fillId="0" borderId="29" xfId="5" applyFont="1" applyBorder="1" applyAlignment="1">
      <alignment wrapText="1"/>
    </xf>
    <xf numFmtId="0" fontId="42" fillId="0" borderId="23" xfId="5" applyFont="1" applyBorder="1" applyAlignment="1">
      <alignment wrapText="1"/>
    </xf>
    <xf numFmtId="17" fontId="42" fillId="0" borderId="23" xfId="5" applyNumberFormat="1" applyFont="1" applyBorder="1" applyAlignment="1">
      <alignment horizontal="center"/>
    </xf>
    <xf numFmtId="3" fontId="0" fillId="0" borderId="0" xfId="0" applyNumberFormat="1"/>
    <xf numFmtId="0" fontId="27" fillId="0" borderId="0" xfId="0" applyFont="1" applyBorder="1" applyAlignment="1">
      <alignment horizontal="center"/>
    </xf>
    <xf numFmtId="0" fontId="38" fillId="0" borderId="0" xfId="0" applyFont="1" applyBorder="1"/>
    <xf numFmtId="0" fontId="38" fillId="0" borderId="30" xfId="0" applyFont="1" applyBorder="1"/>
    <xf numFmtId="0" fontId="38" fillId="0" borderId="0" xfId="0" applyFont="1" applyBorder="1" applyAlignment="1"/>
    <xf numFmtId="0" fontId="38" fillId="0" borderId="0" xfId="0" applyFont="1" applyBorder="1" applyAlignment="1">
      <alignment horizontal="center"/>
    </xf>
    <xf numFmtId="0" fontId="44" fillId="0" borderId="0" xfId="0" applyFont="1" applyAlignment="1"/>
    <xf numFmtId="0" fontId="44" fillId="0" borderId="30" xfId="0" applyFont="1" applyBorder="1" applyAlignment="1"/>
    <xf numFmtId="0" fontId="41" fillId="0" borderId="26" xfId="5" applyFont="1" applyBorder="1"/>
    <xf numFmtId="0" fontId="42" fillId="0" borderId="26" xfId="5" applyFont="1" applyBorder="1"/>
    <xf numFmtId="0" fontId="41" fillId="0" borderId="31" xfId="5" applyFont="1" applyBorder="1"/>
    <xf numFmtId="0" fontId="42" fillId="0" borderId="6" xfId="5" applyFont="1" applyBorder="1"/>
    <xf numFmtId="3" fontId="22" fillId="0" borderId="6" xfId="5" applyNumberFormat="1" applyFont="1" applyBorder="1"/>
    <xf numFmtId="165" fontId="41" fillId="0" borderId="31" xfId="1" applyNumberFormat="1" applyFont="1" applyBorder="1"/>
    <xf numFmtId="0" fontId="45" fillId="0" borderId="26" xfId="5" applyFont="1" applyBorder="1"/>
    <xf numFmtId="0" fontId="42" fillId="0" borderId="29" xfId="5" applyFont="1" applyBorder="1" applyAlignment="1">
      <alignment horizontal="center"/>
    </xf>
    <xf numFmtId="0" fontId="42" fillId="0" borderId="32" xfId="5" applyFont="1" applyBorder="1"/>
    <xf numFmtId="3" fontId="42" fillId="0" borderId="14" xfId="5" applyNumberFormat="1" applyFont="1" applyBorder="1"/>
    <xf numFmtId="0" fontId="42" fillId="0" borderId="14" xfId="5" applyFont="1" applyBorder="1"/>
    <xf numFmtId="0" fontId="42" fillId="0" borderId="33" xfId="5" applyFont="1" applyBorder="1" applyAlignment="1">
      <alignment horizontal="center"/>
    </xf>
    <xf numFmtId="0" fontId="41" fillId="0" borderId="34" xfId="5" applyFont="1" applyBorder="1"/>
    <xf numFmtId="3" fontId="22" fillId="0" borderId="35" xfId="5" applyNumberFormat="1" applyFont="1" applyBorder="1"/>
    <xf numFmtId="3" fontId="22" fillId="0" borderId="14" xfId="5" applyNumberFormat="1" applyFont="1" applyBorder="1"/>
    <xf numFmtId="0" fontId="42" fillId="0" borderId="19" xfId="5" applyFont="1" applyFill="1" applyBorder="1" applyAlignment="1">
      <alignment horizontal="center"/>
    </xf>
    <xf numFmtId="0" fontId="41" fillId="0" borderId="32" xfId="5" applyFont="1" applyBorder="1" applyAlignment="1">
      <alignment wrapText="1"/>
    </xf>
    <xf numFmtId="3" fontId="22" fillId="0" borderId="36" xfId="5" applyNumberFormat="1" applyFont="1" applyBorder="1"/>
    <xf numFmtId="0" fontId="42" fillId="0" borderId="37" xfId="5" applyFont="1" applyBorder="1"/>
    <xf numFmtId="0" fontId="18" fillId="0" borderId="0" xfId="0" applyFont="1" applyBorder="1"/>
    <xf numFmtId="165" fontId="42" fillId="0" borderId="6" xfId="1" applyNumberFormat="1" applyFont="1" applyBorder="1"/>
    <xf numFmtId="0" fontId="41" fillId="0" borderId="6" xfId="5" applyFont="1" applyBorder="1"/>
    <xf numFmtId="0" fontId="41" fillId="0" borderId="14" xfId="5" applyFont="1" applyBorder="1"/>
    <xf numFmtId="0" fontId="41" fillId="0" borderId="35" xfId="5" applyFont="1" applyBorder="1"/>
    <xf numFmtId="165" fontId="42" fillId="0" borderId="25" xfId="1" applyNumberFormat="1" applyFont="1" applyBorder="1"/>
    <xf numFmtId="165" fontId="0" fillId="0" borderId="6" xfId="1" applyNumberFormat="1" applyFont="1" applyBorder="1"/>
    <xf numFmtId="165" fontId="47" fillId="0" borderId="6" xfId="1" applyNumberFormat="1" applyFont="1" applyBorder="1"/>
    <xf numFmtId="0" fontId="42" fillId="0" borderId="16" xfId="5" applyFont="1" applyBorder="1" applyAlignment="1">
      <alignment horizontal="center"/>
    </xf>
    <xf numFmtId="3" fontId="22" fillId="0" borderId="37" xfId="5" applyNumberFormat="1" applyFont="1" applyBorder="1"/>
    <xf numFmtId="0" fontId="42" fillId="0" borderId="9" xfId="5" applyFont="1" applyBorder="1" applyAlignment="1">
      <alignment horizontal="center"/>
    </xf>
    <xf numFmtId="3" fontId="22" fillId="0" borderId="25" xfId="5" applyNumberFormat="1" applyFont="1" applyBorder="1"/>
    <xf numFmtId="0" fontId="42" fillId="0" borderId="38" xfId="5" applyFont="1" applyBorder="1" applyAlignment="1">
      <alignment horizontal="center"/>
    </xf>
    <xf numFmtId="165" fontId="47" fillId="0" borderId="25" xfId="1" applyNumberFormat="1" applyFont="1" applyBorder="1"/>
    <xf numFmtId="165" fontId="41" fillId="0" borderId="27" xfId="1" applyNumberFormat="1" applyFont="1" applyBorder="1"/>
    <xf numFmtId="0" fontId="39" fillId="0" borderId="0" xfId="0" applyFont="1" applyBorder="1"/>
    <xf numFmtId="0" fontId="39" fillId="0" borderId="30" xfId="0" applyFont="1" applyBorder="1"/>
    <xf numFmtId="0" fontId="40" fillId="0" borderId="0" xfId="0" applyFont="1" applyAlignment="1"/>
    <xf numFmtId="3" fontId="22" fillId="0" borderId="15" xfId="5" applyNumberFormat="1" applyFont="1" applyFill="1" applyBorder="1"/>
    <xf numFmtId="165" fontId="18" fillId="0" borderId="0" xfId="1" applyNumberFormat="1" applyFont="1"/>
    <xf numFmtId="165" fontId="18" fillId="0" borderId="39" xfId="1" applyNumberFormat="1" applyFont="1" applyBorder="1"/>
    <xf numFmtId="165" fontId="0" fillId="0" borderId="39" xfId="1" applyNumberFormat="1" applyFont="1" applyBorder="1"/>
    <xf numFmtId="165" fontId="0" fillId="0" borderId="30" xfId="1" applyNumberFormat="1" applyFont="1" applyBorder="1"/>
    <xf numFmtId="165" fontId="26" fillId="0" borderId="0" xfId="2" applyNumberFormat="1" applyFont="1" applyFill="1" applyBorder="1"/>
    <xf numFmtId="165" fontId="26" fillId="0" borderId="0" xfId="2" applyNumberFormat="1" applyFont="1" applyFill="1" applyBorder="1" applyAlignment="1"/>
    <xf numFmtId="0" fontId="18" fillId="0" borderId="0" xfId="8" applyFill="1"/>
    <xf numFmtId="0" fontId="18" fillId="0" borderId="0" xfId="8" applyFill="1" applyBorder="1"/>
    <xf numFmtId="165" fontId="0" fillId="0" borderId="0" xfId="1" applyNumberFormat="1" applyFont="1" applyFill="1"/>
    <xf numFmtId="165" fontId="0" fillId="0" borderId="49" xfId="1" applyNumberFormat="1" applyFont="1" applyFill="1" applyBorder="1"/>
    <xf numFmtId="0" fontId="39" fillId="0" borderId="0" xfId="8" applyFont="1" applyFill="1"/>
    <xf numFmtId="0" fontId="22" fillId="0" borderId="49" xfId="8" applyFont="1" applyFill="1" applyBorder="1"/>
    <xf numFmtId="0" fontId="22" fillId="0" borderId="0" xfId="8" applyFont="1" applyFill="1" applyBorder="1"/>
    <xf numFmtId="165" fontId="22" fillId="0" borderId="49" xfId="1" applyNumberFormat="1" applyFont="1" applyFill="1" applyBorder="1"/>
    <xf numFmtId="0" fontId="0" fillId="0" borderId="0" xfId="0" applyFill="1"/>
    <xf numFmtId="0" fontId="18" fillId="0" borderId="0" xfId="8" applyFont="1" applyFill="1"/>
    <xf numFmtId="165" fontId="0" fillId="0" borderId="0" xfId="1" applyNumberFormat="1" applyFont="1" applyFill="1" applyBorder="1"/>
    <xf numFmtId="165" fontId="18" fillId="0" borderId="0" xfId="1" applyNumberFormat="1" applyFill="1" applyBorder="1"/>
    <xf numFmtId="0" fontId="38" fillId="0" borderId="0" xfId="8" applyFont="1" applyFill="1" applyBorder="1"/>
    <xf numFmtId="165" fontId="22" fillId="0" borderId="51" xfId="1" applyNumberFormat="1" applyFont="1" applyFill="1" applyBorder="1"/>
    <xf numFmtId="165" fontId="22" fillId="0" borderId="0" xfId="1" applyNumberFormat="1" applyFont="1" applyFill="1" applyBorder="1"/>
    <xf numFmtId="165" fontId="38" fillId="0" borderId="48" xfId="1" applyNumberFormat="1" applyFont="1" applyFill="1" applyBorder="1"/>
    <xf numFmtId="165" fontId="38" fillId="0" borderId="0" xfId="1" applyNumberFormat="1" applyFont="1" applyFill="1" applyBorder="1"/>
    <xf numFmtId="0" fontId="42" fillId="0" borderId="23" xfId="5" applyFont="1" applyFill="1" applyBorder="1" applyAlignment="1">
      <alignment horizontal="center"/>
    </xf>
    <xf numFmtId="0" fontId="45" fillId="0" borderId="26" xfId="5" applyFont="1" applyFill="1" applyBorder="1"/>
    <xf numFmtId="165" fontId="42" fillId="0" borderId="6" xfId="1" applyNumberFormat="1" applyFont="1" applyFill="1" applyBorder="1"/>
    <xf numFmtId="165" fontId="0" fillId="0" borderId="0" xfId="0" applyNumberFormat="1"/>
    <xf numFmtId="0" fontId="18" fillId="0" borderId="0" xfId="8" applyFont="1" applyFill="1" applyBorder="1"/>
    <xf numFmtId="0" fontId="18" fillId="0" borderId="0" xfId="0" applyFont="1" applyFill="1"/>
    <xf numFmtId="165" fontId="22" fillId="0" borderId="0" xfId="1" applyNumberFormat="1" applyFont="1" applyFill="1"/>
    <xf numFmtId="165" fontId="22" fillId="0" borderId="50" xfId="1" applyNumberFormat="1" applyFont="1" applyFill="1" applyBorder="1"/>
    <xf numFmtId="165" fontId="18" fillId="0" borderId="0" xfId="1" applyNumberFormat="1" applyFont="1" applyFill="1" applyBorder="1"/>
    <xf numFmtId="0" fontId="18" fillId="0" borderId="0" xfId="8" applyFill="1" applyAlignment="1">
      <alignment horizontal="right"/>
    </xf>
    <xf numFmtId="0" fontId="18" fillId="0" borderId="0" xfId="8" applyFill="1"/>
    <xf numFmtId="0" fontId="18" fillId="0" borderId="0" xfId="8" applyFill="1" applyBorder="1"/>
    <xf numFmtId="0" fontId="19" fillId="0" borderId="0" xfId="5" applyFill="1" applyBorder="1"/>
    <xf numFmtId="0" fontId="18" fillId="0" borderId="0" xfId="5" applyFont="1" applyFill="1"/>
    <xf numFmtId="0" fontId="42" fillId="0" borderId="6" xfId="5" applyFont="1" applyFill="1" applyBorder="1"/>
    <xf numFmtId="3" fontId="22" fillId="0" borderId="35" xfId="5" applyNumberFormat="1" applyFont="1" applyFill="1" applyBorder="1"/>
    <xf numFmtId="0" fontId="42" fillId="0" borderId="14" xfId="5" applyFont="1" applyFill="1" applyBorder="1"/>
    <xf numFmtId="3" fontId="22" fillId="0" borderId="14" xfId="5" applyNumberFormat="1" applyFont="1" applyFill="1" applyBorder="1"/>
    <xf numFmtId="3" fontId="22" fillId="0" borderId="6" xfId="5" applyNumberFormat="1" applyFont="1" applyFill="1" applyBorder="1"/>
    <xf numFmtId="165" fontId="47" fillId="0" borderId="6" xfId="1" applyNumberFormat="1" applyFont="1" applyFill="1" applyBorder="1"/>
    <xf numFmtId="165" fontId="41" fillId="0" borderId="31" xfId="1" applyNumberFormat="1" applyFont="1" applyFill="1" applyBorder="1"/>
    <xf numFmtId="0" fontId="16" fillId="0" borderId="0" xfId="17"/>
    <xf numFmtId="0" fontId="51" fillId="0" borderId="0" xfId="17" applyFont="1"/>
    <xf numFmtId="165" fontId="16" fillId="0" borderId="0" xfId="1" applyNumberFormat="1" applyFont="1"/>
    <xf numFmtId="165" fontId="51" fillId="0" borderId="0" xfId="1" applyNumberFormat="1" applyFont="1"/>
    <xf numFmtId="165" fontId="52" fillId="0" borderId="0" xfId="1" applyNumberFormat="1" applyFont="1" applyFill="1" applyBorder="1" applyAlignment="1"/>
    <xf numFmtId="0" fontId="16" fillId="0" borderId="0" xfId="17" applyFill="1"/>
    <xf numFmtId="165" fontId="0" fillId="0" borderId="0" xfId="0" applyNumberFormat="1" applyFill="1"/>
    <xf numFmtId="0" fontId="53" fillId="0" borderId="0" xfId="0" applyFont="1"/>
    <xf numFmtId="165" fontId="0" fillId="0" borderId="39" xfId="0" applyNumberFormat="1" applyBorder="1"/>
    <xf numFmtId="0" fontId="39" fillId="0" borderId="0" xfId="0" applyFont="1"/>
    <xf numFmtId="0" fontId="54" fillId="0" borderId="0" xfId="0" applyFont="1"/>
    <xf numFmtId="0" fontId="0" fillId="0" borderId="0" xfId="0" applyAlignment="1">
      <alignment horizontal="left"/>
    </xf>
    <xf numFmtId="164" fontId="18" fillId="0" borderId="0" xfId="1" applyFill="1" applyBorder="1"/>
    <xf numFmtId="9" fontId="0" fillId="0" borderId="0" xfId="9" applyFont="1"/>
    <xf numFmtId="3" fontId="42" fillId="0" borderId="14" xfId="5" applyNumberFormat="1" applyFont="1" applyFill="1" applyBorder="1"/>
    <xf numFmtId="0" fontId="51" fillId="0" borderId="0" xfId="27" applyFont="1"/>
    <xf numFmtId="165" fontId="51" fillId="0" borderId="0" xfId="28" applyNumberFormat="1" applyFont="1"/>
    <xf numFmtId="0" fontId="14" fillId="0" borderId="0" xfId="27"/>
    <xf numFmtId="165" fontId="0" fillId="0" borderId="0" xfId="28" applyNumberFormat="1" applyFont="1"/>
    <xf numFmtId="165" fontId="0" fillId="0" borderId="39" xfId="28" applyNumberFormat="1" applyFont="1" applyBorder="1"/>
    <xf numFmtId="165" fontId="51" fillId="0" borderId="0" xfId="27" applyNumberFormat="1" applyFont="1"/>
    <xf numFmtId="0" fontId="13" fillId="0" borderId="0" xfId="17" applyFont="1" applyFill="1"/>
    <xf numFmtId="0" fontId="13" fillId="0" borderId="0" xfId="27" applyFont="1"/>
    <xf numFmtId="165" fontId="0" fillId="0" borderId="0" xfId="28" applyNumberFormat="1" applyFont="1" applyFill="1"/>
    <xf numFmtId="0" fontId="12" fillId="0" borderId="0" xfId="27" applyFont="1"/>
    <xf numFmtId="0" fontId="14" fillId="0" borderId="0" xfId="27" applyFill="1"/>
    <xf numFmtId="165" fontId="0" fillId="11" borderId="0" xfId="28" applyNumberFormat="1" applyFont="1" applyFill="1"/>
    <xf numFmtId="165" fontId="18" fillId="11" borderId="0" xfId="28" applyNumberFormat="1" applyFont="1" applyFill="1"/>
    <xf numFmtId="0" fontId="11" fillId="0" borderId="0" xfId="27" applyFont="1"/>
    <xf numFmtId="0" fontId="55" fillId="0" borderId="0" xfId="0" applyFont="1"/>
    <xf numFmtId="0" fontId="10" fillId="0" borderId="0" xfId="27" applyFont="1"/>
    <xf numFmtId="165" fontId="0" fillId="11" borderId="39" xfId="28" applyNumberFormat="1" applyFont="1" applyFill="1" applyBorder="1"/>
    <xf numFmtId="0" fontId="27" fillId="0" borderId="0" xfId="0" applyFont="1"/>
    <xf numFmtId="0" fontId="9" fillId="0" borderId="0" xfId="27" applyFont="1"/>
    <xf numFmtId="0" fontId="8" fillId="0" borderId="0" xfId="27" applyFont="1"/>
    <xf numFmtId="165" fontId="0" fillId="10" borderId="0" xfId="1" applyNumberFormat="1" applyFont="1" applyFill="1"/>
    <xf numFmtId="165" fontId="0" fillId="10" borderId="39" xfId="1" applyNumberFormat="1" applyFont="1" applyFill="1" applyBorder="1"/>
    <xf numFmtId="0" fontId="21" fillId="12" borderId="1" xfId="5" applyFont="1" applyFill="1" applyBorder="1" applyAlignment="1">
      <alignment horizontal="center" vertical="center" wrapText="1"/>
    </xf>
    <xf numFmtId="165" fontId="24" fillId="12" borderId="0" xfId="2" applyNumberFormat="1" applyFont="1" applyFill="1"/>
    <xf numFmtId="165" fontId="24" fillId="12" borderId="4" xfId="2" applyNumberFormat="1" applyFont="1" applyFill="1" applyBorder="1" applyAlignment="1"/>
    <xf numFmtId="165" fontId="26" fillId="12" borderId="46" xfId="2" applyNumberFormat="1" applyFont="1" applyFill="1" applyBorder="1" applyAlignment="1"/>
    <xf numFmtId="165" fontId="24" fillId="12" borderId="53" xfId="2" applyNumberFormat="1" applyFont="1" applyFill="1" applyBorder="1" applyAlignment="1"/>
    <xf numFmtId="165" fontId="24" fillId="12" borderId="4" xfId="1" applyNumberFormat="1" applyFont="1" applyFill="1" applyBorder="1" applyAlignment="1">
      <alignment horizontal="right"/>
    </xf>
    <xf numFmtId="165" fontId="24" fillId="12" borderId="4" xfId="1" applyNumberFormat="1" applyFont="1" applyFill="1" applyBorder="1" applyAlignment="1"/>
    <xf numFmtId="0" fontId="24" fillId="12" borderId="47" xfId="5" applyFont="1" applyFill="1" applyBorder="1" applyAlignment="1"/>
    <xf numFmtId="165" fontId="26" fillId="12" borderId="48" xfId="2" applyNumberFormat="1" applyFont="1" applyFill="1" applyBorder="1" applyAlignment="1"/>
    <xf numFmtId="0" fontId="24" fillId="12" borderId="53" xfId="5" applyFont="1" applyFill="1" applyBorder="1" applyAlignment="1"/>
    <xf numFmtId="0" fontId="24" fillId="12" borderId="4" xfId="5" applyFont="1" applyFill="1" applyBorder="1" applyAlignment="1"/>
    <xf numFmtId="165" fontId="26" fillId="12" borderId="46" xfId="2" applyNumberFormat="1" applyFont="1" applyFill="1" applyBorder="1"/>
    <xf numFmtId="165" fontId="24" fillId="12" borderId="4" xfId="2" applyNumberFormat="1" applyFont="1" applyFill="1" applyBorder="1" applyAlignment="1">
      <alignment horizontal="center"/>
    </xf>
    <xf numFmtId="165" fontId="24" fillId="12" borderId="4" xfId="5" applyNumberFormat="1" applyFont="1" applyFill="1" applyBorder="1" applyAlignment="1"/>
    <xf numFmtId="165" fontId="26" fillId="12" borderId="0" xfId="2" applyNumberFormat="1" applyFont="1" applyFill="1" applyBorder="1" applyAlignment="1"/>
    <xf numFmtId="165" fontId="26" fillId="12" borderId="48" xfId="1" applyNumberFormat="1" applyFont="1" applyFill="1" applyBorder="1" applyAlignment="1">
      <alignment horizontal="center"/>
    </xf>
    <xf numFmtId="0" fontId="21" fillId="13" borderId="1" xfId="5" applyFont="1" applyFill="1" applyBorder="1" applyAlignment="1">
      <alignment horizontal="center" vertical="center" wrapText="1"/>
    </xf>
    <xf numFmtId="165" fontId="24" fillId="13" borderId="0" xfId="2" applyNumberFormat="1" applyFont="1" applyFill="1"/>
    <xf numFmtId="165" fontId="24" fillId="13" borderId="4" xfId="2" applyNumberFormat="1" applyFont="1" applyFill="1" applyBorder="1"/>
    <xf numFmtId="165" fontId="26" fillId="13" borderId="46" xfId="2" applyNumberFormat="1" applyFont="1" applyFill="1" applyBorder="1" applyAlignment="1"/>
    <xf numFmtId="165" fontId="24" fillId="13" borderId="47" xfId="2" applyNumberFormat="1" applyFont="1" applyFill="1" applyBorder="1" applyAlignment="1"/>
    <xf numFmtId="0" fontId="19" fillId="13" borderId="4" xfId="5" applyFill="1" applyBorder="1"/>
    <xf numFmtId="165" fontId="24" fillId="13" borderId="4" xfId="2" applyNumberFormat="1" applyFont="1" applyFill="1" applyBorder="1" applyAlignment="1"/>
    <xf numFmtId="165" fontId="24" fillId="13" borderId="4" xfId="2" applyNumberFormat="1" applyFont="1" applyFill="1" applyBorder="1" applyAlignment="1">
      <alignment horizontal="center"/>
    </xf>
    <xf numFmtId="165" fontId="26" fillId="13" borderId="48" xfId="2" applyNumberFormat="1" applyFont="1" applyFill="1" applyBorder="1" applyAlignment="1"/>
    <xf numFmtId="0" fontId="24" fillId="13" borderId="4" xfId="5" applyFont="1" applyFill="1" applyBorder="1"/>
    <xf numFmtId="165" fontId="19" fillId="13" borderId="0" xfId="5" applyNumberFormat="1" applyFill="1"/>
    <xf numFmtId="165" fontId="26" fillId="13" borderId="46" xfId="2" applyNumberFormat="1" applyFont="1" applyFill="1" applyBorder="1"/>
    <xf numFmtId="165" fontId="24" fillId="13" borderId="4" xfId="5" applyNumberFormat="1" applyFont="1" applyFill="1" applyBorder="1"/>
    <xf numFmtId="165" fontId="26" fillId="13" borderId="48" xfId="2" applyNumberFormat="1" applyFont="1" applyFill="1" applyBorder="1"/>
    <xf numFmtId="165" fontId="26" fillId="13" borderId="0" xfId="2" applyNumberFormat="1" applyFont="1" applyFill="1" applyBorder="1"/>
    <xf numFmtId="0" fontId="21" fillId="14" borderId="1" xfId="5" applyFont="1" applyFill="1" applyBorder="1" applyAlignment="1">
      <alignment horizontal="center" vertical="center" wrapText="1"/>
    </xf>
    <xf numFmtId="165" fontId="24" fillId="14" borderId="0" xfId="2" applyNumberFormat="1" applyFont="1" applyFill="1"/>
    <xf numFmtId="165" fontId="24" fillId="14" borderId="41" xfId="2" applyNumberFormat="1" applyFont="1" applyFill="1" applyBorder="1" applyAlignment="1"/>
    <xf numFmtId="165" fontId="26" fillId="14" borderId="40" xfId="2" applyNumberFormat="1" applyFont="1" applyFill="1" applyBorder="1" applyAlignment="1"/>
    <xf numFmtId="165" fontId="24" fillId="14" borderId="43" xfId="2" applyNumberFormat="1" applyFont="1" applyFill="1" applyBorder="1" applyAlignment="1"/>
    <xf numFmtId="0" fontId="24" fillId="14" borderId="44" xfId="5" applyFont="1" applyFill="1" applyBorder="1" applyAlignment="1"/>
    <xf numFmtId="165" fontId="26" fillId="14" borderId="42" xfId="2" applyNumberFormat="1" applyFont="1" applyFill="1" applyBorder="1" applyAlignment="1"/>
    <xf numFmtId="0" fontId="24" fillId="14" borderId="43" xfId="5" applyFont="1" applyFill="1" applyBorder="1" applyAlignment="1"/>
    <xf numFmtId="0" fontId="24" fillId="14" borderId="4" xfId="5" applyFont="1" applyFill="1" applyBorder="1" applyAlignment="1"/>
    <xf numFmtId="165" fontId="26" fillId="14" borderId="40" xfId="2" applyNumberFormat="1" applyFont="1" applyFill="1" applyBorder="1"/>
    <xf numFmtId="165" fontId="24" fillId="14" borderId="41" xfId="2" applyNumberFormat="1" applyFont="1" applyFill="1" applyBorder="1" applyAlignment="1">
      <alignment horizontal="center"/>
    </xf>
    <xf numFmtId="165" fontId="24" fillId="14" borderId="41" xfId="5" applyNumberFormat="1" applyFont="1" applyFill="1" applyBorder="1" applyAlignment="1"/>
    <xf numFmtId="0" fontId="24" fillId="14" borderId="41" xfId="5" applyFont="1" applyFill="1" applyBorder="1" applyAlignment="1"/>
    <xf numFmtId="165" fontId="26" fillId="14" borderId="45" xfId="2" applyNumberFormat="1" applyFont="1" applyFill="1" applyBorder="1" applyAlignment="1"/>
    <xf numFmtId="165" fontId="26" fillId="14" borderId="48" xfId="2" applyNumberFormat="1" applyFont="1" applyFill="1" applyBorder="1"/>
    <xf numFmtId="0" fontId="7" fillId="0" borderId="0" xfId="27" applyFont="1"/>
    <xf numFmtId="0" fontId="6" fillId="0" borderId="0" xfId="27" applyFont="1"/>
    <xf numFmtId="0" fontId="0" fillId="0" borderId="0" xfId="0" applyAlignment="1">
      <alignment horizontal="right"/>
    </xf>
    <xf numFmtId="0" fontId="0" fillId="0" borderId="49" xfId="0" applyBorder="1" applyAlignment="1">
      <alignment horizontal="right"/>
    </xf>
    <xf numFmtId="0" fontId="22" fillId="0" borderId="49" xfId="8" applyFont="1" applyFill="1" applyBorder="1" applyAlignment="1">
      <alignment horizontal="right"/>
    </xf>
    <xf numFmtId="0" fontId="0" fillId="0" borderId="0" xfId="0" applyFill="1" applyAlignment="1">
      <alignment horizontal="right"/>
    </xf>
    <xf numFmtId="0" fontId="18" fillId="0" borderId="49" xfId="8" applyFill="1" applyBorder="1" applyAlignment="1">
      <alignment horizontal="right"/>
    </xf>
    <xf numFmtId="0" fontId="22" fillId="0" borderId="0" xfId="8" applyFont="1" applyFill="1" applyAlignment="1">
      <alignment horizontal="right"/>
    </xf>
    <xf numFmtId="0" fontId="22" fillId="0" borderId="50" xfId="8" applyFont="1" applyFill="1" applyBorder="1" applyAlignment="1">
      <alignment horizontal="right"/>
    </xf>
    <xf numFmtId="0" fontId="18" fillId="0" borderId="0" xfId="8" applyFill="1" applyBorder="1" applyAlignment="1">
      <alignment horizontal="right"/>
    </xf>
    <xf numFmtId="0" fontId="18" fillId="0" borderId="50" xfId="8" applyFont="1" applyFill="1" applyBorder="1" applyAlignment="1">
      <alignment horizontal="right"/>
    </xf>
    <xf numFmtId="0" fontId="22" fillId="0" borderId="0" xfId="8" applyFont="1" applyFill="1" applyBorder="1" applyAlignment="1">
      <alignment horizontal="right"/>
    </xf>
    <xf numFmtId="0" fontId="38" fillId="0" borderId="48" xfId="8" applyFont="1" applyFill="1" applyBorder="1" applyAlignment="1">
      <alignment horizontal="right"/>
    </xf>
    <xf numFmtId="0" fontId="4" fillId="0" borderId="0" xfId="31" applyFill="1"/>
    <xf numFmtId="165" fontId="0" fillId="0" borderId="0" xfId="32" applyNumberFormat="1" applyFont="1" applyFill="1"/>
    <xf numFmtId="165" fontId="51" fillId="0" borderId="0" xfId="32" applyNumberFormat="1" applyFont="1" applyFill="1" applyAlignment="1">
      <alignment horizontal="center" wrapText="1"/>
    </xf>
    <xf numFmtId="165" fontId="51" fillId="15" borderId="0" xfId="32" applyNumberFormat="1" applyFont="1" applyFill="1" applyAlignment="1">
      <alignment horizontal="center" wrapText="1"/>
    </xf>
    <xf numFmtId="165" fontId="0" fillId="15" borderId="0" xfId="32" applyNumberFormat="1" applyFont="1" applyFill="1"/>
    <xf numFmtId="165" fontId="4" fillId="0" borderId="0" xfId="31" applyNumberFormat="1" applyFill="1"/>
    <xf numFmtId="0" fontId="51" fillId="0" borderId="0" xfId="31" applyFont="1" applyFill="1"/>
    <xf numFmtId="165" fontId="51" fillId="0" borderId="0" xfId="32" applyNumberFormat="1" applyFont="1" applyFill="1"/>
    <xf numFmtId="165" fontId="51" fillId="15" borderId="0" xfId="32" applyNumberFormat="1" applyFont="1" applyFill="1"/>
    <xf numFmtId="165" fontId="51" fillId="0" borderId="0" xfId="31" applyNumberFormat="1" applyFont="1" applyFill="1"/>
    <xf numFmtId="165" fontId="58" fillId="15" borderId="0" xfId="32" applyNumberFormat="1" applyFont="1" applyFill="1"/>
    <xf numFmtId="165" fontId="58" fillId="0" borderId="0" xfId="32" applyNumberFormat="1" applyFont="1" applyFill="1"/>
    <xf numFmtId="0" fontId="58" fillId="0" borderId="0" xfId="31" applyFont="1" applyFill="1"/>
    <xf numFmtId="0" fontId="4" fillId="0" borderId="0" xfId="31" applyFill="1" applyAlignment="1">
      <alignment wrapText="1"/>
    </xf>
    <xf numFmtId="165" fontId="0" fillId="0" borderId="0" xfId="32" applyNumberFormat="1" applyFont="1" applyFill="1" applyAlignment="1"/>
    <xf numFmtId="0" fontId="4" fillId="0" borderId="0" xfId="31" applyFill="1" applyBorder="1"/>
    <xf numFmtId="0" fontId="59" fillId="0" borderId="0" xfId="31" applyFont="1" applyFill="1"/>
    <xf numFmtId="165" fontId="59" fillId="0" borderId="0" xfId="32" applyNumberFormat="1" applyFont="1" applyFill="1"/>
    <xf numFmtId="165" fontId="60" fillId="15" borderId="0" xfId="32" applyNumberFormat="1" applyFont="1" applyFill="1"/>
    <xf numFmtId="165" fontId="59" fillId="0" borderId="0" xfId="31" applyNumberFormat="1" applyFont="1" applyFill="1"/>
    <xf numFmtId="0" fontId="4" fillId="11" borderId="0" xfId="31" applyFill="1"/>
    <xf numFmtId="165" fontId="51" fillId="15" borderId="48" xfId="32" applyNumberFormat="1" applyFont="1" applyFill="1" applyBorder="1"/>
    <xf numFmtId="165" fontId="0" fillId="0" borderId="48" xfId="32" applyNumberFormat="1" applyFont="1" applyFill="1" applyBorder="1"/>
    <xf numFmtId="0" fontId="18" fillId="0" borderId="0" xfId="0" applyFont="1" applyAlignment="1">
      <alignment horizontal="right"/>
    </xf>
    <xf numFmtId="0" fontId="3" fillId="0" borderId="0" xfId="33"/>
    <xf numFmtId="165" fontId="0" fillId="0" borderId="0" xfId="34" applyNumberFormat="1" applyFont="1"/>
    <xf numFmtId="165" fontId="3" fillId="0" borderId="0" xfId="33" applyNumberFormat="1"/>
    <xf numFmtId="165" fontId="3" fillId="11" borderId="0" xfId="33" applyNumberFormat="1" applyFill="1"/>
    <xf numFmtId="0" fontId="0" fillId="0" borderId="0" xfId="0" applyBorder="1" applyAlignment="1">
      <alignment horizontal="right"/>
    </xf>
    <xf numFmtId="0" fontId="42" fillId="0" borderId="54" xfId="5" applyFont="1" applyBorder="1"/>
    <xf numFmtId="0" fontId="22" fillId="0" borderId="6" xfId="5" applyFont="1" applyBorder="1" applyAlignment="1">
      <alignment horizontal="center"/>
    </xf>
    <xf numFmtId="0" fontId="0" fillId="0" borderId="6" xfId="0" applyBorder="1"/>
    <xf numFmtId="0" fontId="40" fillId="0" borderId="0" xfId="0" applyFont="1" applyBorder="1" applyAlignment="1"/>
    <xf numFmtId="0" fontId="61" fillId="0" borderId="0" xfId="35" applyFont="1"/>
    <xf numFmtId="0" fontId="62" fillId="0" borderId="0" xfId="35" applyFont="1"/>
    <xf numFmtId="0" fontId="61" fillId="11" borderId="0" xfId="35" applyFont="1" applyFill="1"/>
    <xf numFmtId="0" fontId="61" fillId="0" borderId="49" xfId="35" applyFont="1" applyBorder="1"/>
    <xf numFmtId="0" fontId="61" fillId="0" borderId="0" xfId="35" applyFont="1" applyFill="1"/>
    <xf numFmtId="0" fontId="0" fillId="11" borderId="0" xfId="0" applyFill="1"/>
    <xf numFmtId="165" fontId="42" fillId="0" borderId="25" xfId="1" applyNumberFormat="1" applyFont="1" applyFill="1" applyBorder="1"/>
    <xf numFmtId="0" fontId="22" fillId="0" borderId="6" xfId="5" applyFont="1" applyFill="1" applyBorder="1" applyAlignment="1">
      <alignment horizontal="center"/>
    </xf>
    <xf numFmtId="0" fontId="22" fillId="0" borderId="14" xfId="5" applyFont="1" applyBorder="1" applyAlignment="1">
      <alignment horizontal="center"/>
    </xf>
    <xf numFmtId="0" fontId="22" fillId="0" borderId="14" xfId="5" applyFont="1" applyFill="1" applyBorder="1" applyAlignment="1">
      <alignment horizontal="center"/>
    </xf>
    <xf numFmtId="0" fontId="22" fillId="0" borderId="55" xfId="5" applyFont="1" applyBorder="1" applyAlignment="1">
      <alignment horizontal="center"/>
    </xf>
    <xf numFmtId="0" fontId="22" fillId="0" borderId="54" xfId="5" applyFont="1" applyBorder="1" applyAlignment="1">
      <alignment horizontal="center"/>
    </xf>
    <xf numFmtId="0" fontId="41" fillId="0" borderId="18" xfId="5" applyFont="1" applyBorder="1" applyAlignment="1">
      <alignment horizontal="center"/>
    </xf>
    <xf numFmtId="0" fontId="22" fillId="0" borderId="37" xfId="5" applyFont="1" applyBorder="1" applyAlignment="1">
      <alignment horizontal="center"/>
    </xf>
    <xf numFmtId="0" fontId="22" fillId="0" borderId="25" xfId="5" applyFont="1" applyBorder="1" applyAlignment="1">
      <alignment horizontal="center"/>
    </xf>
    <xf numFmtId="0" fontId="19" fillId="0" borderId="18" xfId="0" applyFont="1" applyBorder="1" applyAlignment="1">
      <alignment horizontal="center" wrapText="1"/>
    </xf>
    <xf numFmtId="0" fontId="19" fillId="0" borderId="19" xfId="0" applyFont="1" applyBorder="1" applyAlignment="1">
      <alignment horizontal="center" wrapText="1"/>
    </xf>
    <xf numFmtId="0" fontId="19" fillId="0" borderId="21" xfId="0" applyFont="1" applyBorder="1" applyAlignment="1">
      <alignment horizontal="center" wrapText="1"/>
    </xf>
    <xf numFmtId="0" fontId="19" fillId="0" borderId="18" xfId="0" applyFont="1" applyBorder="1" applyAlignment="1">
      <alignment horizontal="center"/>
    </xf>
    <xf numFmtId="0" fontId="19" fillId="0" borderId="19" xfId="0" applyFont="1" applyBorder="1" applyAlignment="1">
      <alignment horizontal="center"/>
    </xf>
    <xf numFmtId="0" fontId="19" fillId="0" borderId="21" xfId="0" applyFont="1"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21" xfId="0" applyBorder="1" applyAlignment="1">
      <alignment horizontal="center"/>
    </xf>
    <xf numFmtId="0" fontId="0" fillId="0" borderId="18" xfId="0" applyBorder="1" applyAlignment="1">
      <alignment horizontal="center" wrapText="1"/>
    </xf>
    <xf numFmtId="0" fontId="0" fillId="0" borderId="19" xfId="0" applyBorder="1" applyAlignment="1">
      <alignment horizontal="center" wrapText="1"/>
    </xf>
    <xf numFmtId="0" fontId="0" fillId="0" borderId="21" xfId="0" applyBorder="1" applyAlignment="1">
      <alignment horizontal="center" wrapText="1"/>
    </xf>
    <xf numFmtId="0" fontId="40" fillId="0" borderId="0" xfId="0" applyFont="1" applyBorder="1" applyAlignment="1">
      <alignment horizontal="center"/>
    </xf>
    <xf numFmtId="0" fontId="41" fillId="9" borderId="22" xfId="5" applyFont="1" applyFill="1" applyBorder="1" applyAlignment="1">
      <alignment horizontal="center" wrapText="1"/>
    </xf>
    <xf numFmtId="0" fontId="41" fillId="9" borderId="52" xfId="5" applyFont="1" applyFill="1" applyBorder="1" applyAlignment="1">
      <alignment horizontal="center" wrapText="1"/>
    </xf>
    <xf numFmtId="0" fontId="41" fillId="0" borderId="18" xfId="5" applyFont="1" applyBorder="1" applyAlignment="1">
      <alignment horizontal="center"/>
    </xf>
    <xf numFmtId="0" fontId="41" fillId="0" borderId="19" xfId="5" applyFont="1" applyBorder="1" applyAlignment="1">
      <alignment horizontal="center"/>
    </xf>
    <xf numFmtId="0" fontId="41" fillId="0" borderId="21" xfId="5" applyFont="1" applyBorder="1" applyAlignment="1">
      <alignment horizontal="center"/>
    </xf>
    <xf numFmtId="0" fontId="39" fillId="0" borderId="30" xfId="0" applyFont="1" applyBorder="1" applyAlignment="1">
      <alignment horizontal="center"/>
    </xf>
    <xf numFmtId="0" fontId="41" fillId="9" borderId="50" xfId="5" applyFont="1" applyFill="1" applyBorder="1" applyAlignment="1">
      <alignment horizontal="center" wrapText="1"/>
    </xf>
    <xf numFmtId="0" fontId="38" fillId="0" borderId="30" xfId="0" applyFont="1" applyBorder="1" applyAlignment="1">
      <alignment horizontal="center"/>
    </xf>
    <xf numFmtId="0" fontId="44" fillId="0" borderId="30" xfId="0" applyFont="1" applyBorder="1" applyAlignment="1">
      <alignment horizontal="center"/>
    </xf>
    <xf numFmtId="165" fontId="52" fillId="0" borderId="0" xfId="1" applyNumberFormat="1" applyFont="1" applyFill="1" applyBorder="1" applyAlignment="1">
      <alignment horizontal="center"/>
    </xf>
    <xf numFmtId="0" fontId="4" fillId="0" borderId="0" xfId="31" applyFill="1" applyAlignment="1">
      <alignment horizontal="center" wrapText="1"/>
    </xf>
    <xf numFmtId="165" fontId="51" fillId="15" borderId="0" xfId="32" applyNumberFormat="1" applyFont="1" applyFill="1" applyAlignment="1">
      <alignment horizontal="center"/>
    </xf>
    <xf numFmtId="0" fontId="4" fillId="0" borderId="0" xfId="31" applyFill="1" applyAlignment="1">
      <alignment horizontal="center"/>
    </xf>
    <xf numFmtId="0" fontId="63" fillId="0" borderId="0" xfId="0" applyFont="1" applyAlignment="1">
      <alignment horizontal="center" vertical="top"/>
    </xf>
    <xf numFmtId="0" fontId="64" fillId="0" borderId="0" xfId="5" applyFont="1" applyBorder="1" applyAlignment="1">
      <alignment horizontal="center" vertical="top" wrapText="1"/>
    </xf>
    <xf numFmtId="0" fontId="63" fillId="0" borderId="0" xfId="5" applyFont="1" applyAlignment="1">
      <alignment horizontal="center" vertical="top"/>
    </xf>
    <xf numFmtId="0" fontId="63" fillId="0" borderId="0" xfId="5" applyFont="1"/>
    <xf numFmtId="0" fontId="63" fillId="0" borderId="56" xfId="5" applyFont="1" applyBorder="1" applyAlignment="1">
      <alignment horizontal="center"/>
    </xf>
    <xf numFmtId="0" fontId="63" fillId="0" borderId="0" xfId="5" applyFont="1" applyAlignment="1">
      <alignment horizontal="center"/>
    </xf>
    <xf numFmtId="0" fontId="63" fillId="0" borderId="0" xfId="5" applyFont="1" applyAlignment="1">
      <alignment vertical="top"/>
    </xf>
    <xf numFmtId="0" fontId="63" fillId="0" borderId="0" xfId="8" applyFont="1" applyAlignment="1">
      <alignment horizontal="center"/>
    </xf>
    <xf numFmtId="0" fontId="63" fillId="0" borderId="0" xfId="8" applyFont="1"/>
    <xf numFmtId="165" fontId="65" fillId="0" borderId="57" xfId="1" applyNumberFormat="1" applyFont="1" applyBorder="1" applyAlignment="1">
      <alignment horizontal="center"/>
    </xf>
    <xf numFmtId="0" fontId="63" fillId="0" borderId="49" xfId="8" applyFont="1" applyBorder="1" applyAlignment="1">
      <alignment horizontal="center"/>
    </xf>
    <xf numFmtId="0" fontId="63" fillId="0" borderId="0" xfId="8" applyFont="1" applyAlignment="1"/>
    <xf numFmtId="0" fontId="63" fillId="0" borderId="58" xfId="5" applyFont="1" applyBorder="1" applyAlignment="1">
      <alignment horizontal="center"/>
    </xf>
    <xf numFmtId="0" fontId="63" fillId="0" borderId="39" xfId="5" applyFont="1" applyBorder="1" applyAlignment="1">
      <alignment horizontal="center"/>
    </xf>
    <xf numFmtId="0" fontId="66" fillId="0" borderId="0" xfId="0" applyFont="1" applyAlignment="1">
      <alignment horizontal="center" readingOrder="2"/>
    </xf>
    <xf numFmtId="0" fontId="63" fillId="0" borderId="51" xfId="5" applyFont="1" applyBorder="1" applyAlignment="1">
      <alignment horizontal="center"/>
    </xf>
    <xf numFmtId="0" fontId="63" fillId="0" borderId="57" xfId="0" applyFont="1" applyBorder="1" applyAlignment="1">
      <alignment horizontal="center"/>
    </xf>
    <xf numFmtId="0" fontId="63" fillId="0" borderId="59" xfId="5" applyFont="1" applyBorder="1" applyAlignment="1">
      <alignment horizontal="center"/>
    </xf>
    <xf numFmtId="0" fontId="63" fillId="0" borderId="49" xfId="5" applyFont="1" applyBorder="1" applyAlignment="1">
      <alignment horizontal="center"/>
    </xf>
    <xf numFmtId="0" fontId="63" fillId="0" borderId="0" xfId="8" applyFont="1" applyFill="1"/>
    <xf numFmtId="0" fontId="63" fillId="0" borderId="0" xfId="8" applyFont="1" applyFill="1" applyAlignment="1">
      <alignment horizontal="center"/>
    </xf>
  </cellXfs>
  <cellStyles count="39">
    <cellStyle name="Comma" xfId="1" builtinId="3"/>
    <cellStyle name="Comma 10" xfId="36" xr:uid="{00000000-0005-0000-0000-000001000000}"/>
    <cellStyle name="Comma 11" xfId="38" xr:uid="{00000000-0005-0000-0000-000002000000}"/>
    <cellStyle name="Comma 2" xfId="2" xr:uid="{00000000-0005-0000-0000-000003000000}"/>
    <cellStyle name="Comma 2 2" xfId="3" xr:uid="{00000000-0005-0000-0000-000004000000}"/>
    <cellStyle name="Comma 3" xfId="4" xr:uid="{00000000-0005-0000-0000-000005000000}"/>
    <cellStyle name="Comma 4" xfId="13" xr:uid="{00000000-0005-0000-0000-000006000000}"/>
    <cellStyle name="Comma 5" xfId="20" xr:uid="{00000000-0005-0000-0000-000007000000}"/>
    <cellStyle name="Comma 6" xfId="28" xr:uid="{00000000-0005-0000-0000-000008000000}"/>
    <cellStyle name="Comma 7" xfId="30" xr:uid="{00000000-0005-0000-0000-000009000000}"/>
    <cellStyle name="Comma 8" xfId="32" xr:uid="{00000000-0005-0000-0000-00000A000000}"/>
    <cellStyle name="Comma 9" xfId="34" xr:uid="{00000000-0005-0000-0000-00000B000000}"/>
    <cellStyle name="Normal" xfId="0" builtinId="0"/>
    <cellStyle name="Normal 10" xfId="29" xr:uid="{00000000-0005-0000-0000-00000D000000}"/>
    <cellStyle name="Normal 11" xfId="31" xr:uid="{00000000-0005-0000-0000-00000E000000}"/>
    <cellStyle name="Normal 12" xfId="33" xr:uid="{00000000-0005-0000-0000-00000F000000}"/>
    <cellStyle name="Normal 13" xfId="35" xr:uid="{00000000-0005-0000-0000-000010000000}"/>
    <cellStyle name="Normal 14" xfId="37" xr:uid="{00000000-0005-0000-0000-000011000000}"/>
    <cellStyle name="Normal 2" xfId="5" xr:uid="{00000000-0005-0000-0000-000012000000}"/>
    <cellStyle name="Normal 2 2" xfId="6" xr:uid="{00000000-0005-0000-0000-000013000000}"/>
    <cellStyle name="Normal 2 3" xfId="7" xr:uid="{00000000-0005-0000-0000-000014000000}"/>
    <cellStyle name="Normal 2 3 2" xfId="14" xr:uid="{00000000-0005-0000-0000-000015000000}"/>
    <cellStyle name="Normal 2 3 2 2" xfId="25" xr:uid="{00000000-0005-0000-0000-000016000000}"/>
    <cellStyle name="Normal 2 3 3" xfId="21" xr:uid="{00000000-0005-0000-0000-000017000000}"/>
    <cellStyle name="Normal 3" xfId="8" xr:uid="{00000000-0005-0000-0000-000018000000}"/>
    <cellStyle name="Normal 4" xfId="12" xr:uid="{00000000-0005-0000-0000-000019000000}"/>
    <cellStyle name="Normal 4 2" xfId="24" xr:uid="{00000000-0005-0000-0000-00001A000000}"/>
    <cellStyle name="Normal 5" xfId="11" xr:uid="{00000000-0005-0000-0000-00001B000000}"/>
    <cellStyle name="Normal 5 2" xfId="23" xr:uid="{00000000-0005-0000-0000-00001C000000}"/>
    <cellStyle name="Normal 6" xfId="17" xr:uid="{00000000-0005-0000-0000-00001D000000}"/>
    <cellStyle name="Normal 6 2" xfId="26" xr:uid="{00000000-0005-0000-0000-00001E000000}"/>
    <cellStyle name="Normal 7" xfId="19" xr:uid="{00000000-0005-0000-0000-00001F000000}"/>
    <cellStyle name="Normal 8" xfId="18" xr:uid="{00000000-0005-0000-0000-000020000000}"/>
    <cellStyle name="Normal 9" xfId="27" xr:uid="{00000000-0005-0000-0000-000021000000}"/>
    <cellStyle name="Percent" xfId="9" builtinId="5"/>
    <cellStyle name="Percent 2" xfId="10" xr:uid="{00000000-0005-0000-0000-000023000000}"/>
    <cellStyle name="Percent 2 2" xfId="16" xr:uid="{00000000-0005-0000-0000-000024000000}"/>
    <cellStyle name="Percent 3" xfId="15" xr:uid="{00000000-0005-0000-0000-000025000000}"/>
    <cellStyle name="Percent 4" xfId="22" xr:uid="{00000000-0005-0000-0000-00002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he-IL"/>
              <a:t>התפלגות הכנסות</a:t>
            </a:r>
          </a:p>
        </c:rich>
      </c:tx>
      <c:layout>
        <c:manualLayout>
          <c:xMode val="edge"/>
          <c:yMode val="edge"/>
          <c:x val="0.37500041010499024"/>
          <c:y val="2.9296885834476181E-2"/>
        </c:manualLayout>
      </c:layout>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IL"/>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29427120751852354"/>
          <c:y val="0.34179687500000272"/>
          <c:w val="0.51432357066290557"/>
          <c:h val="0.30664062500000272"/>
        </c:manualLayout>
      </c:layout>
      <c:pie3DChart>
        <c:varyColors val="1"/>
        <c:ser>
          <c:idx val="0"/>
          <c:order val="0"/>
          <c:explosion val="27"/>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A721-4DD5-BA96-E03C47065A74}"/>
              </c:ext>
            </c:extLst>
          </c:dPt>
          <c:dPt>
            <c:idx val="1"/>
            <c:bubble3D val="0"/>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A721-4DD5-BA96-E03C47065A74}"/>
              </c:ext>
            </c:extLst>
          </c:dPt>
          <c:dPt>
            <c:idx val="2"/>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A721-4DD5-BA96-E03C47065A74}"/>
              </c:ext>
            </c:extLst>
          </c:dPt>
          <c:dPt>
            <c:idx val="3"/>
            <c:bubble3D val="0"/>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A721-4DD5-BA96-E03C47065A74}"/>
              </c:ext>
            </c:extLst>
          </c:dPt>
          <c:dPt>
            <c:idx val="4"/>
            <c:bubble3D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9-A721-4DD5-BA96-E03C47065A74}"/>
              </c:ext>
            </c:extLst>
          </c:dPt>
          <c:dPt>
            <c:idx val="5"/>
            <c:bubble3D val="0"/>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B-A721-4DD5-BA96-E03C47065A74}"/>
              </c:ext>
            </c:extLst>
          </c:dPt>
          <c:dLbls>
            <c:dLbl>
              <c:idx val="0"/>
              <c:layout>
                <c:manualLayout>
                  <c:x val="2.7006506999125112E-2"/>
                  <c:y val="-0.16477392380746941"/>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A721-4DD5-BA96-E03C47065A74}"/>
                </c:ext>
              </c:extLst>
            </c:dLbl>
            <c:dLbl>
              <c:idx val="1"/>
              <c:layout>
                <c:manualLayout>
                  <c:x val="-1.0173697851884341E-2"/>
                  <c:y val="5.7373687664042133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A721-4DD5-BA96-E03C47065A74}"/>
                </c:ext>
              </c:extLst>
            </c:dLbl>
            <c:dLbl>
              <c:idx val="2"/>
              <c:layout>
                <c:manualLayout>
                  <c:x val="-8.4272236904041689E-3"/>
                  <c:y val="0.11418594160105019"/>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A721-4DD5-BA96-E03C47065A74}"/>
                </c:ext>
              </c:extLst>
            </c:dLbl>
            <c:dLbl>
              <c:idx val="3"/>
              <c:layout>
                <c:manualLayout>
                  <c:x val="-0.14507819335083141"/>
                  <c:y val="1.9977913719689169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A721-4DD5-BA96-E03C47065A74}"/>
                </c:ext>
              </c:extLst>
            </c:dLbl>
            <c:dLbl>
              <c:idx val="4"/>
              <c:layout>
                <c:manualLayout>
                  <c:x val="-9.0383858267716513E-2"/>
                  <c:y val="-0.15824809570036971"/>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A721-4DD5-BA96-E03C47065A74}"/>
                </c:ext>
              </c:extLst>
            </c:dLbl>
            <c:dLbl>
              <c:idx val="5"/>
              <c:layout>
                <c:manualLayout>
                  <c:x val="5.6447123797025371E-2"/>
                  <c:y val="-9.0638396227870399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B-A721-4DD5-BA96-E03C47065A74}"/>
                </c:ext>
              </c:extLst>
            </c:dLbl>
            <c:dLbl>
              <c:idx val="6"/>
              <c:layout>
                <c:manualLayout>
                  <c:x val="-8.0506446760083034E-2"/>
                  <c:y val="-0.13325028707349268"/>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C-A721-4DD5-BA96-E03C47065A74}"/>
                </c:ext>
              </c:extLst>
            </c:dLbl>
            <c:dLbl>
              <c:idx val="7"/>
              <c:layout>
                <c:manualLayout>
                  <c:x val="-5.3873228232489828E-2"/>
                  <c:y val="-0.13492536089239104"/>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D-A721-4DD5-BA96-E03C47065A74}"/>
                </c:ext>
              </c:extLst>
            </c:dLbl>
            <c:dLbl>
              <c:idx val="8"/>
              <c:layout>
                <c:manualLayout>
                  <c:x val="0.12182394837449174"/>
                  <c:y val="-8.2190985892388463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E-A721-4DD5-BA96-E03C47065A74}"/>
                </c:ext>
              </c:extLst>
            </c:dLbl>
            <c:dLbl>
              <c:idx val="9"/>
              <c:layout>
                <c:manualLayout>
                  <c:xMode val="edge"/>
                  <c:yMode val="edge"/>
                  <c:x val="0.6966154691257086"/>
                  <c:y val="0.251953125"/>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F-A721-4DD5-BA96-E03C47065A74}"/>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IL"/>
              </a:p>
            </c:txPr>
            <c:showLegendKey val="0"/>
            <c:showVal val="0"/>
            <c:showCatName val="1"/>
            <c:showSerName val="0"/>
            <c:showPercent val="1"/>
            <c:showBubbleSize val="0"/>
            <c:showLeaderLines val="1"/>
            <c:leaderLines>
              <c:spPr>
                <a:ln w="9525">
                  <a:solidFill>
                    <a:schemeClr val="lt1">
                      <a:lumMod val="95000"/>
                      <a:alpha val="54000"/>
                    </a:schemeClr>
                  </a:solidFill>
                </a:ln>
                <a:effectLst/>
              </c:spPr>
            </c:leaderLines>
            <c:extLst>
              <c:ext xmlns:c15="http://schemas.microsoft.com/office/drawing/2012/chart" uri="{CE6537A1-D6FC-4f65-9D91-7224C49458BB}"/>
            </c:extLst>
          </c:dLbls>
          <c:cat>
            <c:strRef>
              <c:f>'עמוד 8'!$O$3:$O$8</c:f>
              <c:strCache>
                <c:ptCount val="6"/>
                <c:pt idx="0">
                  <c:v>ארנונה כללית
והנחות</c:v>
                </c:pt>
                <c:pt idx="1">
                  <c:v>יתר עצמיות</c:v>
                </c:pt>
                <c:pt idx="2">
                  <c:v>משרד החינוך</c:v>
                </c:pt>
                <c:pt idx="3">
                  <c:v>משרד הרווחה</c:v>
                </c:pt>
                <c:pt idx="4">
                  <c:v>תקבולים
אחרים</c:v>
                </c:pt>
                <c:pt idx="5">
                  <c:v>מענקים
 משרד הפנים</c:v>
                </c:pt>
              </c:strCache>
            </c:strRef>
          </c:cat>
          <c:val>
            <c:numRef>
              <c:f>'עמוד 8'!$P$3:$P$8</c:f>
              <c:numCache>
                <c:formatCode>0%</c:formatCode>
                <c:ptCount val="6"/>
                <c:pt idx="0">
                  <c:v>0.3938133436713489</c:v>
                </c:pt>
                <c:pt idx="1">
                  <c:v>0.21530257452453722</c:v>
                </c:pt>
                <c:pt idx="2">
                  <c:v>0.138925248917323</c:v>
                </c:pt>
                <c:pt idx="3">
                  <c:v>0.10907762386282377</c:v>
                </c:pt>
                <c:pt idx="4">
                  <c:v>8.3275791963547049E-3</c:v>
                </c:pt>
                <c:pt idx="5">
                  <c:v>0.13227522238674932</c:v>
                </c:pt>
              </c:numCache>
            </c:numRef>
          </c:val>
          <c:extLst>
            <c:ext xmlns:c16="http://schemas.microsoft.com/office/drawing/2014/chart" uri="{C3380CC4-5D6E-409C-BE32-E72D297353CC}">
              <c16:uniqueId val="{00000010-A721-4DD5-BA96-E03C47065A74}"/>
            </c:ext>
          </c:extLst>
        </c:ser>
        <c:dLbls>
          <c:showLegendKey val="0"/>
          <c:showVal val="0"/>
          <c:showCatName val="1"/>
          <c:showSerName val="0"/>
          <c:showPercent val="1"/>
          <c:showBubbleSize val="0"/>
          <c:showLeaderLines val="1"/>
        </c:dLbls>
      </c:pie3D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IL"/>
        </a:p>
      </c:txPr>
    </c:legend>
    <c:plotVisOnly val="1"/>
    <c:dispBlanksAs val="zero"/>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IL"/>
    </a:p>
  </c:txPr>
  <c:printSettings>
    <c:headerFooter alignWithMargins="0">
      <c:oddHeader>&amp;R&amp;"Arial,מודגש"&amp;14&amp;Eעיריית עכו -הצעת תקציב 2016
</c:oddHeader>
      <c:oddFooter>&amp;Cעמוד 8</c:oddFooter>
    </c:headerFooter>
    <c:pageMargins b="0.98425196850393659" l="0.74803149606299613" r="0.74803149606299613" t="0.98425196850393659" header="0.51181102362204722" footer="0.51181102362204722"/>
    <c:pageSetup paperSize="9" orientation="landscape" verticalDpi="30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he-IL"/>
              <a:t>הכנסות ממשלה / עצמיות</a:t>
            </a:r>
          </a:p>
        </c:rich>
      </c:tx>
      <c:layout>
        <c:manualLayout>
          <c:xMode val="edge"/>
          <c:yMode val="edge"/>
          <c:x val="0.32690021294508415"/>
          <c:y val="2.7777858636431996E-2"/>
        </c:manualLayout>
      </c:layout>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IL"/>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21148198653939207"/>
          <c:y val="0.12569488188976374"/>
          <c:w val="0.60412498716989982"/>
          <c:h val="0.86909842519685054"/>
        </c:manualLayout>
      </c:layout>
      <c:pie3DChart>
        <c:varyColors val="1"/>
        <c:ser>
          <c:idx val="0"/>
          <c:order val="0"/>
          <c:explosion val="25"/>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5875-4E48-9B31-CE15A2F9A428}"/>
              </c:ext>
            </c:extLst>
          </c:dPt>
          <c:dPt>
            <c:idx val="1"/>
            <c:bubble3D val="0"/>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0-E02C-4F4A-8FA2-A605F04859CB}"/>
              </c:ext>
            </c:extLst>
          </c:dPt>
          <c:dLbls>
            <c:dLbl>
              <c:idx val="1"/>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E02C-4F4A-8FA2-A605F04859CB}"/>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IL"/>
              </a:p>
            </c:txPr>
            <c:dLblPos val="ctr"/>
            <c:showLegendKey val="0"/>
            <c:showVal val="0"/>
            <c:showCatName val="1"/>
            <c:showSerName val="0"/>
            <c:showPercent val="1"/>
            <c:showBubbleSize val="0"/>
            <c:showLeaderLines val="1"/>
            <c:leaderLines>
              <c:spPr>
                <a:ln w="9525">
                  <a:solidFill>
                    <a:schemeClr val="lt1">
                      <a:lumMod val="95000"/>
                      <a:alpha val="54000"/>
                    </a:schemeClr>
                  </a:solidFill>
                </a:ln>
                <a:effectLst/>
              </c:spPr>
            </c:leaderLines>
            <c:extLst>
              <c:ext xmlns:c15="http://schemas.microsoft.com/office/drawing/2012/chart" uri="{CE6537A1-D6FC-4f65-9D91-7224C49458BB}"/>
            </c:extLst>
          </c:dLbls>
          <c:cat>
            <c:strRef>
              <c:f>'עמוד 9'!$P$3:$P$4</c:f>
              <c:strCache>
                <c:ptCount val="2"/>
                <c:pt idx="0">
                  <c:v>הכנסות עצמיות</c:v>
                </c:pt>
                <c:pt idx="1">
                  <c:v>הכנסות ממשלה</c:v>
                </c:pt>
              </c:strCache>
            </c:strRef>
          </c:cat>
          <c:val>
            <c:numRef>
              <c:f>'עמוד 9'!$Q$3:$Q$4</c:f>
              <c:numCache>
                <c:formatCode>0%</c:formatCode>
                <c:ptCount val="2"/>
                <c:pt idx="0">
                  <c:v>0.5430421024108556</c:v>
                </c:pt>
                <c:pt idx="1">
                  <c:v>0.4569578975891444</c:v>
                </c:pt>
              </c:numCache>
            </c:numRef>
          </c:val>
          <c:extLst>
            <c:ext xmlns:c16="http://schemas.microsoft.com/office/drawing/2014/chart" uri="{C3380CC4-5D6E-409C-BE32-E72D297353CC}">
              <c16:uniqueId val="{00000001-E02C-4F4A-8FA2-A605F04859CB}"/>
            </c:ext>
          </c:extLst>
        </c:ser>
        <c:dLbls>
          <c:showLegendKey val="0"/>
          <c:showVal val="0"/>
          <c:showCatName val="1"/>
          <c:showSerName val="0"/>
          <c:showPercent val="1"/>
          <c:showBubbleSize val="0"/>
          <c:showLeaderLines val="1"/>
        </c:dLbls>
      </c:pie3D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IL"/>
        </a:p>
      </c:txPr>
    </c:legend>
    <c:plotVisOnly val="1"/>
    <c:dispBlanksAs val="zero"/>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IL"/>
    </a:p>
  </c:txPr>
  <c:printSettings>
    <c:headerFooter alignWithMargins="0"/>
    <c:pageMargins b="1" l="0.75000000000000555" r="0.75000000000000555" t="1" header="0.5" footer="0.5"/>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hPercent val="100"/>
      <c:rotY val="20"/>
      <c:depthPercent val="100"/>
      <c:rAngAx val="1"/>
    </c:view3D>
    <c:floor>
      <c:thickness val="0"/>
      <c:spPr>
        <a:solidFill>
          <a:schemeClr val="bg2">
            <a:lumMod val="75000"/>
            <a:alpha val="27000"/>
          </a:schemeClr>
        </a:solid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
          <c:y val="1.4119478159152758E-2"/>
          <c:w val="0.93587587186960741"/>
          <c:h val="0.87550416504580875"/>
        </c:manualLayout>
      </c:layout>
      <c:bar3DChart>
        <c:barDir val="col"/>
        <c:grouping val="clustered"/>
        <c:varyColors val="0"/>
        <c:ser>
          <c:idx val="0"/>
          <c:order val="0"/>
          <c:tx>
            <c:v>תקציב 2019</c:v>
          </c:tx>
          <c:spPr>
            <a:solidFill>
              <a:schemeClr val="accent6">
                <a:alpha val="88000"/>
              </a:schemeClr>
            </a:solidFill>
            <a:ln>
              <a:solidFill>
                <a:schemeClr val="accent6">
                  <a:lumMod val="50000"/>
                </a:schemeClr>
              </a:solidFill>
            </a:ln>
            <a:effectLst/>
            <a:scene3d>
              <a:camera prst="orthographicFront"/>
              <a:lightRig rig="threePt" dir="t"/>
            </a:scene3d>
            <a:sp3d prstMaterial="flat">
              <a:contourClr>
                <a:schemeClr val="accent6">
                  <a:lumMod val="50000"/>
                </a:schemeClr>
              </a:contourClr>
            </a:sp3d>
          </c:spPr>
          <c:invertIfNegative val="0"/>
          <c:dLbls>
            <c:delete val="1"/>
          </c:dLbls>
          <c:cat>
            <c:strRef>
              <c:f>'עמוד 10'!$M$3:$M$11</c:f>
              <c:strCache>
                <c:ptCount val="9"/>
                <c:pt idx="0">
                  <c:v>ארנונה כללית</c:v>
                </c:pt>
                <c:pt idx="1">
                  <c:v>מים</c:v>
                </c:pt>
                <c:pt idx="2">
                  <c:v>יתר עצמיות</c:v>
                </c:pt>
                <c:pt idx="3">
                  <c:v>משרד החינוך</c:v>
                </c:pt>
                <c:pt idx="4">
                  <c:v>משרד הרווחה</c:v>
                </c:pt>
                <c:pt idx="5">
                  <c:v>תקבולים אחרים</c:v>
                </c:pt>
                <c:pt idx="6">
                  <c:v>מענק איזון כללי</c:v>
                </c:pt>
                <c:pt idx="7">
                  <c:v>מענקים אחרים</c:v>
                </c:pt>
                <c:pt idx="8">
                  <c:v>הכנסות חד פעמיות ובגין ש"ק</c:v>
                </c:pt>
              </c:strCache>
            </c:strRef>
          </c:cat>
          <c:val>
            <c:numRef>
              <c:f>'עמוד 10'!$N$3:$N$11</c:f>
              <c:numCache>
                <c:formatCode>_ * #,##0_ ;_ * \-#,##0_ ;_ * "-"??_ ;_ @_ </c:formatCode>
                <c:ptCount val="9"/>
                <c:pt idx="0">
                  <c:v>142493.777</c:v>
                </c:pt>
                <c:pt idx="1">
                  <c:v>352.10500000000002</c:v>
                </c:pt>
                <c:pt idx="2">
                  <c:v>94496.959000000003</c:v>
                </c:pt>
                <c:pt idx="3">
                  <c:v>60974.716999999997</c:v>
                </c:pt>
                <c:pt idx="4">
                  <c:v>47874.502999999997</c:v>
                </c:pt>
                <c:pt idx="5">
                  <c:v>3655</c:v>
                </c:pt>
                <c:pt idx="6">
                  <c:v>50210</c:v>
                </c:pt>
                <c:pt idx="7">
                  <c:v>7846</c:v>
                </c:pt>
                <c:pt idx="8">
                  <c:v>1000</c:v>
                </c:pt>
              </c:numCache>
            </c:numRef>
          </c:val>
          <c:extLst>
            <c:ext xmlns:c16="http://schemas.microsoft.com/office/drawing/2014/chart" uri="{C3380CC4-5D6E-409C-BE32-E72D297353CC}">
              <c16:uniqueId val="{00000000-781E-4539-A5F1-CE8E96FE614A}"/>
            </c:ext>
          </c:extLst>
        </c:ser>
        <c:ser>
          <c:idx val="1"/>
          <c:order val="1"/>
          <c:tx>
            <c:v>ביצוע 2017</c:v>
          </c:tx>
          <c:spPr>
            <a:solidFill>
              <a:schemeClr val="accent5">
                <a:alpha val="88000"/>
              </a:schemeClr>
            </a:solidFill>
            <a:ln>
              <a:solidFill>
                <a:schemeClr val="accent5">
                  <a:lumMod val="50000"/>
                </a:schemeClr>
              </a:solidFill>
            </a:ln>
            <a:effectLst/>
            <a:scene3d>
              <a:camera prst="orthographicFront"/>
              <a:lightRig rig="threePt" dir="t"/>
            </a:scene3d>
            <a:sp3d prstMaterial="flat">
              <a:contourClr>
                <a:schemeClr val="accent5">
                  <a:lumMod val="50000"/>
                </a:schemeClr>
              </a:contourClr>
            </a:sp3d>
          </c:spPr>
          <c:invertIfNegative val="0"/>
          <c:dLbls>
            <c:delete val="1"/>
          </c:dLbls>
          <c:cat>
            <c:strRef>
              <c:f>'עמוד 10'!$M$3:$M$11</c:f>
              <c:strCache>
                <c:ptCount val="9"/>
                <c:pt idx="0">
                  <c:v>ארנונה כללית</c:v>
                </c:pt>
                <c:pt idx="1">
                  <c:v>מים</c:v>
                </c:pt>
                <c:pt idx="2">
                  <c:v>יתר עצמיות</c:v>
                </c:pt>
                <c:pt idx="3">
                  <c:v>משרד החינוך</c:v>
                </c:pt>
                <c:pt idx="4">
                  <c:v>משרד הרווחה</c:v>
                </c:pt>
                <c:pt idx="5">
                  <c:v>תקבולים אחרים</c:v>
                </c:pt>
                <c:pt idx="6">
                  <c:v>מענק איזון כללי</c:v>
                </c:pt>
                <c:pt idx="7">
                  <c:v>מענקים אחרים</c:v>
                </c:pt>
                <c:pt idx="8">
                  <c:v>הכנסות חד פעמיות ובגין ש"ק</c:v>
                </c:pt>
              </c:strCache>
            </c:strRef>
          </c:cat>
          <c:val>
            <c:numRef>
              <c:f>'עמוד 10'!$O$3:$O$11</c:f>
              <c:numCache>
                <c:formatCode>_ * #,##0_ ;_ * \-#,##0_ ;_ * "-"??_ ;_ @_ </c:formatCode>
                <c:ptCount val="9"/>
                <c:pt idx="0">
                  <c:v>127033.62822</c:v>
                </c:pt>
                <c:pt idx="1">
                  <c:v>561.9316</c:v>
                </c:pt>
                <c:pt idx="2">
                  <c:v>76321.986820000006</c:v>
                </c:pt>
                <c:pt idx="3">
                  <c:v>59684.610489999992</c:v>
                </c:pt>
                <c:pt idx="4">
                  <c:v>42994.622510000001</c:v>
                </c:pt>
                <c:pt idx="5">
                  <c:v>9584.884</c:v>
                </c:pt>
                <c:pt idx="6">
                  <c:v>50629.535000000003</c:v>
                </c:pt>
                <c:pt idx="7">
                  <c:v>7902.2370000000001</c:v>
                </c:pt>
                <c:pt idx="8">
                  <c:v>2943.0312999999996</c:v>
                </c:pt>
              </c:numCache>
            </c:numRef>
          </c:val>
          <c:extLst>
            <c:ext xmlns:c16="http://schemas.microsoft.com/office/drawing/2014/chart" uri="{C3380CC4-5D6E-409C-BE32-E72D297353CC}">
              <c16:uniqueId val="{00000001-781E-4539-A5F1-CE8E96FE614A}"/>
            </c:ext>
          </c:extLst>
        </c:ser>
        <c:dLbls>
          <c:showLegendKey val="0"/>
          <c:showVal val="1"/>
          <c:showCatName val="0"/>
          <c:showSerName val="0"/>
          <c:showPercent val="0"/>
          <c:showBubbleSize val="0"/>
        </c:dLbls>
        <c:gapWidth val="84"/>
        <c:gapDepth val="53"/>
        <c:shape val="box"/>
        <c:axId val="239906816"/>
        <c:axId val="196777600"/>
        <c:axId val="0"/>
      </c:bar3DChart>
      <c:catAx>
        <c:axId val="239906816"/>
        <c:scaling>
          <c:orientation val="maxMin"/>
        </c:scaling>
        <c:delete val="0"/>
        <c:axPos val="b"/>
        <c:numFmt formatCode="General" sourceLinked="1"/>
        <c:majorTickMark val="none"/>
        <c:minorTickMark val="none"/>
        <c:tickLblPos val="low"/>
        <c:spPr>
          <a:noFill/>
          <a:ln>
            <a:noFill/>
          </a:ln>
          <a:effectLst/>
        </c:spPr>
        <c:txPr>
          <a:bodyPr rot="0" spcFirstLastPara="1" vertOverflow="ellipsis" wrap="square" anchor="ctr" anchorCtr="1"/>
          <a:lstStyle/>
          <a:p>
            <a:pPr>
              <a:defRPr sz="900" b="0" i="0" u="none" strike="noStrike" kern="1200" baseline="0">
                <a:solidFill>
                  <a:schemeClr val="lt1">
                    <a:lumMod val="75000"/>
                  </a:schemeClr>
                </a:solidFill>
                <a:latin typeface="+mn-lt"/>
                <a:ea typeface="+mn-ea"/>
                <a:cs typeface="+mn-cs"/>
              </a:defRPr>
            </a:pPr>
            <a:endParaRPr lang="en-IL"/>
          </a:p>
        </c:txPr>
        <c:crossAx val="196777600"/>
        <c:crosses val="autoZero"/>
        <c:auto val="0"/>
        <c:lblAlgn val="ctr"/>
        <c:lblOffset val="100"/>
        <c:tickLblSkip val="1"/>
        <c:tickMarkSkip val="1"/>
        <c:noMultiLvlLbl val="0"/>
      </c:catAx>
      <c:valAx>
        <c:axId val="196777600"/>
        <c:scaling>
          <c:orientation val="minMax"/>
          <c:max val="150000"/>
        </c:scaling>
        <c:delete val="1"/>
        <c:axPos val="r"/>
        <c:numFmt formatCode="_ * #,##0_ ;_ * \-#,##0_ ;_ * &quot;-&quot;??_ ;_ @_ " sourceLinked="1"/>
        <c:majorTickMark val="out"/>
        <c:minorTickMark val="none"/>
        <c:tickLblPos val="nextTo"/>
        <c:crossAx val="239906816"/>
        <c:crosses val="min"/>
        <c:crossBetween val="between"/>
      </c:valAx>
      <c:spPr>
        <a:noFill/>
        <a:ln>
          <a:noFill/>
        </a:ln>
        <a:effectLst/>
      </c:spPr>
    </c:plotArea>
    <c:legend>
      <c:legendPos val="t"/>
      <c:legendEntry>
        <c:idx val="0"/>
        <c:txPr>
          <a:bodyPr rot="0" spcFirstLastPara="1" vertOverflow="ellipsis" vert="horz" wrap="square" anchor="ctr" anchorCtr="1"/>
          <a:lstStyle/>
          <a:p>
            <a:pPr>
              <a:defRPr sz="900" b="0" i="0" u="none" strike="noStrike" kern="1200" baseline="0">
                <a:solidFill>
                  <a:schemeClr val="lt1">
                    <a:lumMod val="75000"/>
                  </a:schemeClr>
                </a:solidFill>
                <a:latin typeface="+mn-lt"/>
                <a:ea typeface="+mn-ea"/>
                <a:cs typeface="+mn-cs"/>
              </a:defRPr>
            </a:pPr>
            <a:endParaRPr lang="en-IL"/>
          </a:p>
        </c:txPr>
      </c:legendEntry>
      <c:legendEntry>
        <c:idx val="1"/>
        <c:txPr>
          <a:bodyPr rot="0" spcFirstLastPara="1" vertOverflow="ellipsis" vert="horz" wrap="square" anchor="ctr" anchorCtr="1"/>
          <a:lstStyle/>
          <a:p>
            <a:pPr>
              <a:defRPr sz="900" b="0" i="0" u="none" strike="noStrike" kern="1200" baseline="0">
                <a:solidFill>
                  <a:schemeClr val="lt1">
                    <a:lumMod val="75000"/>
                  </a:schemeClr>
                </a:solidFill>
                <a:latin typeface="+mn-lt"/>
                <a:ea typeface="+mn-ea"/>
                <a:cs typeface="+mn-cs"/>
              </a:defRPr>
            </a:pPr>
            <a:endParaRPr lang="en-IL"/>
          </a:p>
        </c:txPr>
      </c:legendEntry>
      <c:overlay val="0"/>
      <c:spPr>
        <a:noFill/>
        <a:ln>
          <a:noFill/>
        </a:ln>
        <a:effectLst/>
      </c:spPr>
      <c:txPr>
        <a:bodyPr rot="0" spcFirstLastPara="1" vertOverflow="ellipsis" vert="horz" wrap="square" anchor="ctr" anchorCtr="1"/>
        <a:lstStyle/>
        <a:p>
          <a:pPr>
            <a:defRPr sz="900" b="0" i="0" u="none" strike="noStrike" kern="1200" baseline="0">
              <a:solidFill>
                <a:schemeClr val="lt1">
                  <a:lumMod val="75000"/>
                </a:schemeClr>
              </a:solidFill>
              <a:latin typeface="+mn-lt"/>
              <a:ea typeface="+mn-ea"/>
              <a:cs typeface="+mn-cs"/>
            </a:defRPr>
          </a:pPr>
          <a:endParaRPr lang="en-IL"/>
        </a:p>
      </c:txPr>
    </c:legend>
    <c:plotVisOnly val="1"/>
    <c:dispBlanksAs val="gap"/>
    <c:showDLblsOverMax val="0"/>
  </c:chart>
  <c:spPr>
    <a:solidFill>
      <a:schemeClr val="dk1">
        <a:lumMod val="75000"/>
        <a:lumOff val="25000"/>
      </a:schemeClr>
    </a:solidFill>
    <a:ln w="6350" cap="flat" cmpd="sng" algn="ctr">
      <a:solidFill>
        <a:schemeClr val="dk1">
          <a:tint val="75000"/>
        </a:schemeClr>
      </a:solidFill>
      <a:round/>
    </a:ln>
    <a:effectLst/>
  </c:spPr>
  <c:txPr>
    <a:bodyPr/>
    <a:lstStyle/>
    <a:p>
      <a:pPr>
        <a:defRPr/>
      </a:pPr>
      <a:endParaRPr lang="en-IL"/>
    </a:p>
  </c:txPr>
  <c:printSettings>
    <c:headerFooter alignWithMargins="0"/>
    <c:pageMargins b="1" l="0.75000000000000555" r="0.75000000000000555" t="1" header="0.5" footer="0.5"/>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he-IL"/>
              <a:t>התפלגות הוצאות</a:t>
            </a:r>
          </a:p>
        </c:rich>
      </c:tx>
      <c:layout>
        <c:manualLayout>
          <c:xMode val="edge"/>
          <c:yMode val="edge"/>
          <c:x val="0.42334120134297187"/>
          <c:y val="2.800658978583196E-2"/>
        </c:manualLayout>
      </c:layout>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IL"/>
        </a:p>
      </c:txPr>
    </c:title>
    <c:autoTitleDeleted val="0"/>
    <c:view3D>
      <c:rotX val="30"/>
      <c:rotY val="28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1853547946284563"/>
          <c:y val="0.27018143644897774"/>
          <c:w val="0.62929096941759965"/>
          <c:h val="0.35914361674315326"/>
        </c:manualLayout>
      </c:layout>
      <c:pie3DChart>
        <c:varyColors val="1"/>
        <c:ser>
          <c:idx val="0"/>
          <c:order val="0"/>
          <c:explosion val="14"/>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8-6853-4350-AA75-CBA47FD6D8EF}"/>
              </c:ext>
            </c:extLst>
          </c:dPt>
          <c:dPt>
            <c:idx val="1"/>
            <c:bubble3D val="0"/>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6853-4350-AA75-CBA47FD6D8EF}"/>
              </c:ext>
            </c:extLst>
          </c:dPt>
          <c:dPt>
            <c:idx val="2"/>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6853-4350-AA75-CBA47FD6D8EF}"/>
              </c:ext>
            </c:extLst>
          </c:dPt>
          <c:dPt>
            <c:idx val="3"/>
            <c:bubble3D val="0"/>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6853-4350-AA75-CBA47FD6D8EF}"/>
              </c:ext>
            </c:extLst>
          </c:dPt>
          <c:dPt>
            <c:idx val="4"/>
            <c:bubble3D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6853-4350-AA75-CBA47FD6D8EF}"/>
              </c:ext>
            </c:extLst>
          </c:dPt>
          <c:dPt>
            <c:idx val="5"/>
            <c:bubble3D val="0"/>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9-6853-4350-AA75-CBA47FD6D8EF}"/>
              </c:ext>
            </c:extLst>
          </c:dPt>
          <c:dPt>
            <c:idx val="6"/>
            <c:bubble3D val="0"/>
            <c:spPr>
              <a:gradFill rotWithShape="1">
                <a:gsLst>
                  <a:gs pos="0">
                    <a:schemeClr val="accent1">
                      <a:lumMod val="60000"/>
                      <a:shade val="51000"/>
                      <a:satMod val="130000"/>
                    </a:schemeClr>
                  </a:gs>
                  <a:gs pos="80000">
                    <a:schemeClr val="accent1">
                      <a:lumMod val="60000"/>
                      <a:shade val="93000"/>
                      <a:satMod val="130000"/>
                    </a:schemeClr>
                  </a:gs>
                  <a:gs pos="100000">
                    <a:schemeClr val="accent1">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B-6853-4350-AA75-CBA47FD6D8EF}"/>
              </c:ext>
            </c:extLst>
          </c:dPt>
          <c:dPt>
            <c:idx val="7"/>
            <c:bubble3D val="0"/>
            <c:spPr>
              <a:gradFill rotWithShape="1">
                <a:gsLst>
                  <a:gs pos="0">
                    <a:schemeClr val="accent2">
                      <a:lumMod val="60000"/>
                      <a:shade val="51000"/>
                      <a:satMod val="130000"/>
                    </a:schemeClr>
                  </a:gs>
                  <a:gs pos="80000">
                    <a:schemeClr val="accent2">
                      <a:lumMod val="60000"/>
                      <a:shade val="93000"/>
                      <a:satMod val="130000"/>
                    </a:schemeClr>
                  </a:gs>
                  <a:gs pos="100000">
                    <a:schemeClr val="accent2">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D-6853-4350-AA75-CBA47FD6D8EF}"/>
              </c:ext>
            </c:extLst>
          </c:dPt>
          <c:dPt>
            <c:idx val="8"/>
            <c:bubble3D val="0"/>
            <c:spPr>
              <a:gradFill rotWithShape="1">
                <a:gsLst>
                  <a:gs pos="0">
                    <a:schemeClr val="accent3">
                      <a:lumMod val="60000"/>
                      <a:shade val="51000"/>
                      <a:satMod val="130000"/>
                    </a:schemeClr>
                  </a:gs>
                  <a:gs pos="80000">
                    <a:schemeClr val="accent3">
                      <a:lumMod val="60000"/>
                      <a:shade val="93000"/>
                      <a:satMod val="130000"/>
                    </a:schemeClr>
                  </a:gs>
                  <a:gs pos="100000">
                    <a:schemeClr val="accent3">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F-6853-4350-AA75-CBA47FD6D8EF}"/>
              </c:ext>
            </c:extLst>
          </c:dPt>
          <c:dPt>
            <c:idx val="9"/>
            <c:bubble3D val="0"/>
            <c:spPr>
              <a:gradFill rotWithShape="1">
                <a:gsLst>
                  <a:gs pos="0">
                    <a:schemeClr val="accent4">
                      <a:lumMod val="60000"/>
                      <a:shade val="51000"/>
                      <a:satMod val="130000"/>
                    </a:schemeClr>
                  </a:gs>
                  <a:gs pos="80000">
                    <a:schemeClr val="accent4">
                      <a:lumMod val="60000"/>
                      <a:shade val="93000"/>
                      <a:satMod val="130000"/>
                    </a:schemeClr>
                  </a:gs>
                  <a:gs pos="100000">
                    <a:schemeClr val="accent4">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1-6853-4350-AA75-CBA47FD6D8EF}"/>
              </c:ext>
            </c:extLst>
          </c:dPt>
          <c:dPt>
            <c:idx val="10"/>
            <c:bubble3D val="0"/>
            <c:spPr>
              <a:gradFill rotWithShape="1">
                <a:gsLst>
                  <a:gs pos="0">
                    <a:schemeClr val="accent5">
                      <a:lumMod val="60000"/>
                      <a:shade val="51000"/>
                      <a:satMod val="130000"/>
                    </a:schemeClr>
                  </a:gs>
                  <a:gs pos="80000">
                    <a:schemeClr val="accent5">
                      <a:lumMod val="60000"/>
                      <a:shade val="93000"/>
                      <a:satMod val="130000"/>
                    </a:schemeClr>
                  </a:gs>
                  <a:gs pos="100000">
                    <a:schemeClr val="accent5">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3-6853-4350-AA75-CBA47FD6D8EF}"/>
              </c:ext>
            </c:extLst>
          </c:dPt>
          <c:dPt>
            <c:idx val="11"/>
            <c:bubble3D val="0"/>
            <c:spPr>
              <a:gradFill rotWithShape="1">
                <a:gsLst>
                  <a:gs pos="0">
                    <a:schemeClr val="accent6">
                      <a:lumMod val="60000"/>
                      <a:shade val="51000"/>
                      <a:satMod val="130000"/>
                    </a:schemeClr>
                  </a:gs>
                  <a:gs pos="80000">
                    <a:schemeClr val="accent6">
                      <a:lumMod val="60000"/>
                      <a:shade val="93000"/>
                      <a:satMod val="130000"/>
                    </a:schemeClr>
                  </a:gs>
                  <a:gs pos="100000">
                    <a:schemeClr val="accent6">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5-6853-4350-AA75-CBA47FD6D8EF}"/>
              </c:ext>
            </c:extLst>
          </c:dPt>
          <c:dPt>
            <c:idx val="12"/>
            <c:bubble3D val="0"/>
            <c:spPr>
              <a:gradFill rotWithShape="1">
                <a:gsLst>
                  <a:gs pos="0">
                    <a:schemeClr val="accent1">
                      <a:lumMod val="80000"/>
                      <a:lumOff val="20000"/>
                      <a:shade val="51000"/>
                      <a:satMod val="130000"/>
                    </a:schemeClr>
                  </a:gs>
                  <a:gs pos="80000">
                    <a:schemeClr val="accent1">
                      <a:lumMod val="80000"/>
                      <a:lumOff val="20000"/>
                      <a:shade val="93000"/>
                      <a:satMod val="130000"/>
                    </a:schemeClr>
                  </a:gs>
                  <a:gs pos="100000">
                    <a:schemeClr val="accent1">
                      <a:lumMod val="80000"/>
                      <a:lumOff val="2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7-6853-4350-AA75-CBA47FD6D8EF}"/>
              </c:ext>
            </c:extLst>
          </c:dPt>
          <c:dLbls>
            <c:dLbl>
              <c:idx val="0"/>
              <c:layout>
                <c:manualLayout>
                  <c:x val="7.6867862619557664E-2"/>
                  <c:y val="-0.13975246638060901"/>
                </c:manualLayout>
              </c:layout>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8-6853-4350-AA75-CBA47FD6D8EF}"/>
                </c:ext>
              </c:extLst>
            </c:dLbl>
            <c:dLbl>
              <c:idx val="1"/>
              <c:layout>
                <c:manualLayout>
                  <c:x val="7.5743553294164906E-2"/>
                  <c:y val="-6.0460494114384554E-2"/>
                </c:manualLayout>
              </c:layout>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6853-4350-AA75-CBA47FD6D8EF}"/>
                </c:ext>
              </c:extLst>
            </c:dLbl>
            <c:dLbl>
              <c:idx val="2"/>
              <c:delete val="1"/>
              <c:extLst>
                <c:ext xmlns:c15="http://schemas.microsoft.com/office/drawing/2012/chart" uri="{CE6537A1-D6FC-4f65-9D91-7224C49458BB}"/>
                <c:ext xmlns:c16="http://schemas.microsoft.com/office/drawing/2014/chart" uri="{C3380CC4-5D6E-409C-BE32-E72D297353CC}">
                  <c16:uniqueId val="{00000003-6853-4350-AA75-CBA47FD6D8EF}"/>
                </c:ext>
              </c:extLst>
            </c:dLbl>
            <c:dLbl>
              <c:idx val="3"/>
              <c:layout>
                <c:manualLayout>
                  <c:x val="6.2233173137029182E-2"/>
                  <c:y val="6.6183560122222915E-2"/>
                </c:manualLayout>
              </c:layout>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6853-4350-AA75-CBA47FD6D8EF}"/>
                </c:ext>
              </c:extLst>
            </c:dLbl>
            <c:dLbl>
              <c:idx val="4"/>
              <c:layout>
                <c:manualLayout>
                  <c:x val="9.4748180413544519E-2"/>
                  <c:y val="0.14719963204640793"/>
                </c:manualLayout>
              </c:layout>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6853-4350-AA75-CBA47FD6D8EF}"/>
                </c:ext>
              </c:extLst>
            </c:dLbl>
            <c:dLbl>
              <c:idx val="5"/>
              <c:layout>
                <c:manualLayout>
                  <c:x val="-1.5840625221969953E-2"/>
                  <c:y val="0.10644118541200299"/>
                </c:manualLayout>
              </c:layout>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6853-4350-AA75-CBA47FD6D8EF}"/>
                </c:ext>
              </c:extLst>
            </c:dLbl>
            <c:dLbl>
              <c:idx val="6"/>
              <c:layout>
                <c:manualLayout>
                  <c:x val="8.749599091875529E-2"/>
                  <c:y val="5.8787116190377436E-2"/>
                </c:manualLayout>
              </c:layout>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B-6853-4350-AA75-CBA47FD6D8EF}"/>
                </c:ext>
              </c:extLst>
            </c:dLbl>
            <c:dLbl>
              <c:idx val="7"/>
              <c:layout>
                <c:manualLayout>
                  <c:x val="8.2622503372997744E-2"/>
                  <c:y val="0.22177164942299041"/>
                </c:manualLayout>
              </c:layout>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D-6853-4350-AA75-CBA47FD6D8EF}"/>
                </c:ext>
              </c:extLst>
            </c:dLbl>
            <c:dLbl>
              <c:idx val="8"/>
              <c:layout>
                <c:manualLayout>
                  <c:x val="-3.3718529703600147E-2"/>
                  <c:y val="0.17526102372933491"/>
                </c:manualLayout>
              </c:layout>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F-6853-4350-AA75-CBA47FD6D8EF}"/>
                </c:ext>
              </c:extLst>
            </c:dLbl>
            <c:dLbl>
              <c:idx val="9"/>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1-6853-4350-AA75-CBA47FD6D8EF}"/>
                </c:ext>
              </c:extLst>
            </c:dLbl>
            <c:dLbl>
              <c:idx val="10"/>
              <c:layout>
                <c:manualLayout>
                  <c:x val="-7.9594586650646393E-2"/>
                  <c:y val="3.5204749699235191E-2"/>
                </c:manualLayout>
              </c:layout>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3-6853-4350-AA75-CBA47FD6D8EF}"/>
                </c:ext>
              </c:extLst>
            </c:dLbl>
            <c:dLbl>
              <c:idx val="11"/>
              <c:layout>
                <c:manualLayout>
                  <c:x val="-5.1072981439501675E-2"/>
                  <c:y val="-0.16384785814253194"/>
                </c:manualLayout>
              </c:layout>
              <c:tx>
                <c:rich>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r>
                      <a:rPr lang="he-IL"/>
                      <a:t>הוצאות ח"פ ובגין 
שנים קודמות
0%</a:t>
                    </a:r>
                  </a:p>
                </c:rich>
              </c:tx>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IL"/>
                </a:p>
              </c:txPr>
              <c:dLblPos val="bestFit"/>
              <c:showLegendKey val="1"/>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6853-4350-AA75-CBA47FD6D8EF}"/>
                </c:ext>
              </c:extLst>
            </c:dLbl>
            <c:dLbl>
              <c:idx val="12"/>
              <c:layout>
                <c:manualLayout>
                  <c:x val="-2.7781241073820802E-2"/>
                  <c:y val="-0.24058139034446624"/>
                </c:manualLayout>
              </c:layout>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7-6853-4350-AA75-CBA47FD6D8EF}"/>
                </c:ext>
              </c:extLst>
            </c:dLbl>
            <c:dLbl>
              <c:idx val="13"/>
              <c:layout>
                <c:manualLayout>
                  <c:xMode val="edge"/>
                  <c:yMode val="edge"/>
                  <c:x val="4.3478285159761383E-2"/>
                  <c:y val="0.28171357093155608"/>
                </c:manualLayout>
              </c:layout>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9-6853-4350-AA75-CBA47FD6D8EF}"/>
                </c:ext>
              </c:extLst>
            </c:dLbl>
            <c:dLbl>
              <c:idx val="14"/>
              <c:layout>
                <c:manualLayout>
                  <c:xMode val="edge"/>
                  <c:yMode val="edge"/>
                  <c:x val="5.4919939149172876E-2"/>
                  <c:y val="0.38715022905798996"/>
                </c:manualLayout>
              </c:layout>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A-6853-4350-AA75-CBA47FD6D8EF}"/>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IL"/>
              </a:p>
            </c:txPr>
            <c:showLegendKey val="1"/>
            <c:showVal val="0"/>
            <c:showCatName val="1"/>
            <c:showSerName val="0"/>
            <c:showPercent val="1"/>
            <c:showBubbleSize val="0"/>
            <c:showLeaderLines val="1"/>
            <c:leaderLines>
              <c:spPr>
                <a:ln w="9525">
                  <a:solidFill>
                    <a:schemeClr val="lt1">
                      <a:lumMod val="95000"/>
                      <a:alpha val="54000"/>
                    </a:schemeClr>
                  </a:solidFill>
                </a:ln>
                <a:effectLst/>
              </c:spPr>
            </c:leaderLines>
            <c:extLst>
              <c:ext xmlns:c15="http://schemas.microsoft.com/office/drawing/2012/chart" uri="{CE6537A1-D6FC-4f65-9D91-7224C49458BB}"/>
            </c:extLst>
          </c:dLbls>
          <c:cat>
            <c:strRef>
              <c:f>'עמוד 11'!$N$2:$N$14</c:f>
              <c:strCache>
                <c:ptCount val="12"/>
                <c:pt idx="0">
                  <c:v>שכר כללי</c:v>
                </c:pt>
                <c:pt idx="1">
                  <c:v>פעולות כלליות</c:v>
                </c:pt>
                <c:pt idx="3">
                  <c:v>שכר עובדי חינוך</c:v>
                </c:pt>
                <c:pt idx="4">
                  <c:v>פעולות חינוך</c:v>
                </c:pt>
                <c:pt idx="5">
                  <c:v>שכר עובדי רווחה</c:v>
                </c:pt>
                <c:pt idx="6">
                  <c:v>פעולות רווחה  </c:v>
                </c:pt>
                <c:pt idx="7">
                  <c:v>פרעון מלוות מים וביוב</c:v>
                </c:pt>
                <c:pt idx="8">
                  <c:v>פרעון מלוות אחרות</c:v>
                </c:pt>
                <c:pt idx="9">
                  <c:v>הוצאות מימון</c:v>
                </c:pt>
                <c:pt idx="10">
                  <c:v>הנחות בארנונה</c:v>
                </c:pt>
                <c:pt idx="11">
                  <c:v>הוצאות ח"פ ובגין שנים קודמות</c:v>
                </c:pt>
              </c:strCache>
            </c:strRef>
          </c:cat>
          <c:val>
            <c:numRef>
              <c:f>'עמוד 11'!$O$2:$O$14</c:f>
              <c:numCache>
                <c:formatCode>_ * #,##0_ ;_ * \-#,##0_ ;_ * "-"??_ ;_ @_ </c:formatCode>
                <c:ptCount val="13"/>
                <c:pt idx="0">
                  <c:v>88865.22</c:v>
                </c:pt>
                <c:pt idx="1">
                  <c:v>100705.41654942601</c:v>
                </c:pt>
                <c:pt idx="3">
                  <c:v>44783.868000000002</c:v>
                </c:pt>
                <c:pt idx="4">
                  <c:v>89517.002999999997</c:v>
                </c:pt>
                <c:pt idx="5">
                  <c:v>15012.227999999999</c:v>
                </c:pt>
                <c:pt idx="6">
                  <c:v>53786.567000000003</c:v>
                </c:pt>
                <c:pt idx="7">
                  <c:v>1969.7470000000001</c:v>
                </c:pt>
                <c:pt idx="8">
                  <c:v>11632.682000000001</c:v>
                </c:pt>
                <c:pt idx="9">
                  <c:v>2028</c:v>
                </c:pt>
                <c:pt idx="10">
                  <c:v>29000</c:v>
                </c:pt>
                <c:pt idx="11">
                  <c:v>1602.329</c:v>
                </c:pt>
              </c:numCache>
            </c:numRef>
          </c:val>
          <c:extLst>
            <c:ext xmlns:c16="http://schemas.microsoft.com/office/drawing/2014/chart" uri="{C3380CC4-5D6E-409C-BE32-E72D297353CC}">
              <c16:uniqueId val="{0000001B-6853-4350-AA75-CBA47FD6D8EF}"/>
            </c:ext>
          </c:extLst>
        </c:ser>
        <c:dLbls>
          <c:showLegendKey val="1"/>
          <c:showVal val="0"/>
          <c:showCatName val="1"/>
          <c:showSerName val="0"/>
          <c:showPercent val="1"/>
          <c:showBubbleSize val="0"/>
          <c:showLeaderLines val="1"/>
        </c:dLbls>
      </c:pie3DChart>
      <c:spPr>
        <a:noFill/>
        <a:ln>
          <a:noFill/>
        </a:ln>
        <a:effectLst/>
      </c:spPr>
    </c:plotArea>
    <c:legend>
      <c:legendPos val="b"/>
      <c:legendEntry>
        <c:idx val="2"/>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IL"/>
        </a:p>
      </c:txPr>
    </c:legend>
    <c:plotVisOnly val="1"/>
    <c:dispBlanksAs val="zero"/>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IL"/>
    </a:p>
  </c:txPr>
  <c:printSettings>
    <c:headerFooter alignWithMargins="0">
      <c:oddHeader>&amp;R&amp;"Arial,מודגש"&amp;14&amp;E   עיריית עכו -הצעת תקציב 2016
&amp;"Arial,רגיל"&amp;10&amp;E
</c:oddHeader>
      <c:oddFooter>&amp;Cעמוד 11</c:oddFooter>
    </c:headerFooter>
    <c:pageMargins b="0.98425196850393659" l="0.74803149606299613" r="0.74803149606299613" t="0.98425196850393659" header="0.51181102362204722" footer="0.51181102362204722"/>
    <c:pageSetup paperSize="9" orientation="landscape" verticalDpi="3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he-IL"/>
              <a:t>הוצאות שכר / פעולות</a:t>
            </a:r>
          </a:p>
        </c:rich>
      </c:tx>
      <c:layout>
        <c:manualLayout>
          <c:xMode val="edge"/>
          <c:yMode val="edge"/>
          <c:x val="0.34715053105408716"/>
          <c:y val="2.9850746268656716E-2"/>
        </c:manualLayout>
      </c:layout>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IL"/>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29663231196890688"/>
          <c:y val="0.38246268656716825"/>
          <c:w val="0.41450803419235888"/>
          <c:h val="0.23694029850746717"/>
        </c:manualLayout>
      </c:layout>
      <c:pie3DChart>
        <c:varyColors val="1"/>
        <c:ser>
          <c:idx val="0"/>
          <c:order val="0"/>
          <c:explosion val="11"/>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6-FFF0-405F-852C-B3ADA1B00AF7}"/>
              </c:ext>
            </c:extLst>
          </c:dPt>
          <c:dPt>
            <c:idx val="1"/>
            <c:bubble3D val="0"/>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FFF0-405F-852C-B3ADA1B00AF7}"/>
              </c:ext>
            </c:extLst>
          </c:dPt>
          <c:dPt>
            <c:idx val="2"/>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FFF0-405F-852C-B3ADA1B00AF7}"/>
              </c:ext>
            </c:extLst>
          </c:dPt>
          <c:dPt>
            <c:idx val="3"/>
            <c:bubble3D val="0"/>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FFF0-405F-852C-B3ADA1B00AF7}"/>
              </c:ext>
            </c:extLst>
          </c:dPt>
          <c:dLbls>
            <c:dLbl>
              <c:idx val="0"/>
              <c:layout>
                <c:manualLayout>
                  <c:x val="0.12195677740754876"/>
                  <c:y val="-0.1452703020331414"/>
                </c:manualLayout>
              </c:layout>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FFF0-405F-852C-B3ADA1B00AF7}"/>
                </c:ext>
              </c:extLst>
            </c:dLbl>
            <c:dLbl>
              <c:idx val="1"/>
              <c:layout>
                <c:manualLayout>
                  <c:x val="-4.3051739407198995E-2"/>
                  <c:y val="9.3700591530536767E-2"/>
                </c:manualLayout>
              </c:layout>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FFF0-405F-852C-B3ADA1B00AF7}"/>
                </c:ext>
              </c:extLst>
            </c:dLbl>
            <c:dLbl>
              <c:idx val="2"/>
              <c:layout>
                <c:manualLayout>
                  <c:x val="-9.6378933376301185E-2"/>
                  <c:y val="-0.15340325929408091"/>
                </c:manualLayout>
              </c:layout>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FFF0-405F-852C-B3ADA1B00AF7}"/>
                </c:ext>
              </c:extLst>
            </c:dLbl>
            <c:dLbl>
              <c:idx val="3"/>
              <c:layout>
                <c:manualLayout>
                  <c:x val="0.17440487585663494"/>
                  <c:y val="-0.10956203235789559"/>
                </c:manualLayout>
              </c:layout>
              <c:dLblPos val="bestFi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FFF0-405F-852C-B3ADA1B00AF7}"/>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IL"/>
              </a:p>
            </c:txPr>
            <c:showLegendKey val="1"/>
            <c:showVal val="0"/>
            <c:showCatName val="1"/>
            <c:showSerName val="0"/>
            <c:showPercent val="1"/>
            <c:showBubbleSize val="0"/>
            <c:showLeaderLines val="1"/>
            <c:leaderLines>
              <c:spPr>
                <a:ln w="9525">
                  <a:solidFill>
                    <a:schemeClr val="lt1">
                      <a:lumMod val="95000"/>
                      <a:alpha val="54000"/>
                    </a:schemeClr>
                  </a:solidFill>
                </a:ln>
                <a:effectLst/>
              </c:spPr>
            </c:leaderLines>
            <c:extLst>
              <c:ext xmlns:c15="http://schemas.microsoft.com/office/drawing/2012/chart" uri="{CE6537A1-D6FC-4f65-9D91-7224C49458BB}"/>
            </c:extLst>
          </c:dLbls>
          <c:cat>
            <c:strRef>
              <c:f>'עמוד 12'!$N$2:$N$5</c:f>
              <c:strCache>
                <c:ptCount val="4"/>
                <c:pt idx="0">
                  <c:v>פעולות</c:v>
                </c:pt>
                <c:pt idx="1">
                  <c:v>שכר כללי</c:v>
                </c:pt>
                <c:pt idx="2">
                  <c:v>שכר רווחה</c:v>
                </c:pt>
                <c:pt idx="3">
                  <c:v>שכר חינוך</c:v>
                </c:pt>
              </c:strCache>
            </c:strRef>
          </c:cat>
          <c:val>
            <c:numRef>
              <c:f>'עמוד 12'!$O$2:$O$5</c:f>
              <c:numCache>
                <c:formatCode>0%</c:formatCode>
                <c:ptCount val="4"/>
                <c:pt idx="0">
                  <c:v>0.66128895110937858</c:v>
                </c:pt>
                <c:pt idx="1">
                  <c:v>0.20247117868979331</c:v>
                </c:pt>
                <c:pt idx="2">
                  <c:v>3.4203972014247172E-2</c:v>
                </c:pt>
                <c:pt idx="3">
                  <c:v>0.10203589818658095</c:v>
                </c:pt>
              </c:numCache>
            </c:numRef>
          </c:val>
          <c:extLst>
            <c:ext xmlns:c16="http://schemas.microsoft.com/office/drawing/2014/chart" uri="{C3380CC4-5D6E-409C-BE32-E72D297353CC}">
              <c16:uniqueId val="{00000007-FFF0-405F-852C-B3ADA1B00AF7}"/>
            </c:ext>
          </c:extLst>
        </c:ser>
        <c:dLbls>
          <c:showLegendKey val="1"/>
          <c:showVal val="0"/>
          <c:showCatName val="1"/>
          <c:showSerName val="0"/>
          <c:showPercent val="1"/>
          <c:showBubbleSize val="0"/>
          <c:showLeaderLines val="1"/>
        </c:dLbls>
      </c:pie3D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IL"/>
        </a:p>
      </c:txPr>
    </c:legend>
    <c:plotVisOnly val="1"/>
    <c:dispBlanksAs val="zero"/>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IL"/>
    </a:p>
  </c:txPr>
  <c:printSettings>
    <c:headerFooter alignWithMargins="0">
      <c:oddHeader>&amp;R&amp;"Arial (Hebrew),מודגש"&amp;14&amp;Eעיריית עכו -הצעת תקציב 2016
</c:oddHeader>
      <c:oddFooter>&amp;Cעמוד 12
</c:oddFooter>
    </c:headerFooter>
    <c:pageMargins b="0.98425196850393659" l="0.74803149606299613" r="0.74803149606299613" t="0.98425196850393659" header="0.51181102362204722" footer="0.51181102362204722"/>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he-IL"/>
              <a:t>אומדן הוצאות לשנת 2019 בהשוואה לביצוע 2017
</a:t>
            </a:r>
          </a:p>
        </c:rich>
      </c:tx>
      <c:layout>
        <c:manualLayout>
          <c:xMode val="edge"/>
          <c:yMode val="edge"/>
          <c:x val="0.2196944131983502"/>
          <c:y val="1.5797690252835749E-3"/>
        </c:manualLayout>
      </c:layout>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IL"/>
        </a:p>
      </c:txPr>
    </c:title>
    <c:autoTitleDeleted val="0"/>
    <c:view3D>
      <c:rotX val="15"/>
      <c:hPercent val="100"/>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2.0339332583427076E-2"/>
          <c:y val="7.1554598771830666E-2"/>
          <c:w val="0.95808911386076756"/>
          <c:h val="0.78835404489502103"/>
        </c:manualLayout>
      </c:layout>
      <c:bar3DChart>
        <c:barDir val="col"/>
        <c:grouping val="clustered"/>
        <c:varyColors val="0"/>
        <c:ser>
          <c:idx val="0"/>
          <c:order val="0"/>
          <c:tx>
            <c:strRef>
              <c:f>'עמוד 13'!$L$2</c:f>
              <c:strCache>
                <c:ptCount val="1"/>
                <c:pt idx="0">
                  <c:v>תקציב 
2019</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delete val="1"/>
          </c:dLbls>
          <c:cat>
            <c:strRef>
              <c:f>'עמוד 13'!$K$3:$K$13</c:f>
              <c:strCache>
                <c:ptCount val="11"/>
                <c:pt idx="0">
                  <c:v>שכר כללי</c:v>
                </c:pt>
                <c:pt idx="1">
                  <c:v>פעולות כלליות</c:v>
                </c:pt>
                <c:pt idx="2">
                  <c:v>שכר עובדי חינוך</c:v>
                </c:pt>
                <c:pt idx="3">
                  <c:v>פעולות חינוך</c:v>
                </c:pt>
                <c:pt idx="4">
                  <c:v>שכר עובדי רווחה</c:v>
                </c:pt>
                <c:pt idx="5">
                  <c:v>פעולות רווחה  </c:v>
                </c:pt>
                <c:pt idx="6">
                  <c:v>סה"כ פרעון מלוות</c:v>
                </c:pt>
                <c:pt idx="7">
                  <c:v>הוצאות מימון</c:v>
                </c:pt>
                <c:pt idx="8">
                  <c:v>הוצאות ח"פ ושנים קודמות</c:v>
                </c:pt>
                <c:pt idx="10">
                  <c:v>הנחות בארנונה</c:v>
                </c:pt>
              </c:strCache>
            </c:strRef>
          </c:cat>
          <c:val>
            <c:numRef>
              <c:f>'עמוד 13'!$L$3:$L$13</c:f>
              <c:numCache>
                <c:formatCode>_ * #,##0_ ;_ * \-#,##0_ ;_ * "-"??_ ;_ @_ </c:formatCode>
                <c:ptCount val="11"/>
                <c:pt idx="0">
                  <c:v>88865.22</c:v>
                </c:pt>
                <c:pt idx="1">
                  <c:v>100705.41654942601</c:v>
                </c:pt>
                <c:pt idx="2">
                  <c:v>44783.868000000002</c:v>
                </c:pt>
                <c:pt idx="3">
                  <c:v>89517.002999999997</c:v>
                </c:pt>
                <c:pt idx="4">
                  <c:v>15012.227999999999</c:v>
                </c:pt>
                <c:pt idx="5">
                  <c:v>53786.567000000003</c:v>
                </c:pt>
                <c:pt idx="6">
                  <c:v>13602.429</c:v>
                </c:pt>
                <c:pt idx="7">
                  <c:v>2028</c:v>
                </c:pt>
                <c:pt idx="8">
                  <c:v>1602.329</c:v>
                </c:pt>
                <c:pt idx="10">
                  <c:v>29000</c:v>
                </c:pt>
              </c:numCache>
            </c:numRef>
          </c:val>
          <c:extLst>
            <c:ext xmlns:c16="http://schemas.microsoft.com/office/drawing/2014/chart" uri="{C3380CC4-5D6E-409C-BE32-E72D297353CC}">
              <c16:uniqueId val="{00000000-61C7-4129-982E-8FB91DB31F77}"/>
            </c:ext>
          </c:extLst>
        </c:ser>
        <c:ser>
          <c:idx val="2"/>
          <c:order val="1"/>
          <c:tx>
            <c:strRef>
              <c:f>'עמוד 13'!$M$2</c:f>
              <c:strCache>
                <c:ptCount val="1"/>
                <c:pt idx="0">
                  <c:v>ביצוע
 2017</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delete val="1"/>
          </c:dLbls>
          <c:cat>
            <c:strRef>
              <c:f>'עמוד 13'!$K$3:$K$13</c:f>
              <c:strCache>
                <c:ptCount val="11"/>
                <c:pt idx="0">
                  <c:v>שכר כללי</c:v>
                </c:pt>
                <c:pt idx="1">
                  <c:v>פעולות כלליות</c:v>
                </c:pt>
                <c:pt idx="2">
                  <c:v>שכר עובדי חינוך</c:v>
                </c:pt>
                <c:pt idx="3">
                  <c:v>פעולות חינוך</c:v>
                </c:pt>
                <c:pt idx="4">
                  <c:v>שכר עובדי רווחה</c:v>
                </c:pt>
                <c:pt idx="5">
                  <c:v>פעולות רווחה  </c:v>
                </c:pt>
                <c:pt idx="6">
                  <c:v>סה"כ פרעון מלוות</c:v>
                </c:pt>
                <c:pt idx="7">
                  <c:v>הוצאות מימון</c:v>
                </c:pt>
                <c:pt idx="8">
                  <c:v>הוצאות ח"פ ושנים קודמות</c:v>
                </c:pt>
                <c:pt idx="10">
                  <c:v>הנחות בארנונה</c:v>
                </c:pt>
              </c:strCache>
            </c:strRef>
          </c:cat>
          <c:val>
            <c:numRef>
              <c:f>'עמוד 13'!$M$3:$M$13</c:f>
              <c:numCache>
                <c:formatCode>_ * #,##0_ ;_ * \-#,##0_ ;_ * "-"??_ ;_ @_ </c:formatCode>
                <c:ptCount val="11"/>
                <c:pt idx="0">
                  <c:v>83993.757029999993</c:v>
                </c:pt>
                <c:pt idx="1">
                  <c:v>98248.98247999989</c:v>
                </c:pt>
                <c:pt idx="2">
                  <c:v>39504.648049999989</c:v>
                </c:pt>
                <c:pt idx="3">
                  <c:v>82059.712149999978</c:v>
                </c:pt>
                <c:pt idx="4">
                  <c:v>13960.32158</c:v>
                </c:pt>
                <c:pt idx="5">
                  <c:v>46279.10305000002</c:v>
                </c:pt>
                <c:pt idx="6">
                  <c:v>10953.263370000001</c:v>
                </c:pt>
                <c:pt idx="7">
                  <c:v>2115.52837</c:v>
                </c:pt>
                <c:pt idx="8">
                  <c:v>1494.7408300000002</c:v>
                </c:pt>
                <c:pt idx="10">
                  <c:v>26504.299480000001</c:v>
                </c:pt>
              </c:numCache>
            </c:numRef>
          </c:val>
          <c:extLst>
            <c:ext xmlns:c16="http://schemas.microsoft.com/office/drawing/2014/chart" uri="{C3380CC4-5D6E-409C-BE32-E72D297353CC}">
              <c16:uniqueId val="{00000001-61C7-4129-982E-8FB91DB31F77}"/>
            </c:ext>
          </c:extLst>
        </c:ser>
        <c:dLbls>
          <c:showLegendKey val="0"/>
          <c:showVal val="1"/>
          <c:showCatName val="0"/>
          <c:showSerName val="0"/>
          <c:showPercent val="0"/>
          <c:showBubbleSize val="0"/>
        </c:dLbls>
        <c:gapWidth val="150"/>
        <c:shape val="box"/>
        <c:axId val="276918784"/>
        <c:axId val="219442560"/>
        <c:axId val="0"/>
      </c:bar3DChart>
      <c:catAx>
        <c:axId val="276918784"/>
        <c:scaling>
          <c:orientation val="maxMin"/>
        </c:scaling>
        <c:delete val="0"/>
        <c:axPos val="b"/>
        <c:numFmt formatCode="General" sourceLinked="1"/>
        <c:majorTickMark val="none"/>
        <c:minorTickMark val="none"/>
        <c:tickLblPos val="low"/>
        <c:spPr>
          <a:noFill/>
          <a:ln>
            <a:noFill/>
          </a:ln>
          <a:effectLst/>
        </c:spPr>
        <c:txPr>
          <a:bodyPr rot="0" spcFirstLastPara="1" vertOverflow="ellipsis" wrap="square" anchor="ctr" anchorCtr="1"/>
          <a:lstStyle/>
          <a:p>
            <a:pPr>
              <a:defRPr sz="900" b="0" i="0" u="none" strike="noStrike" kern="1200" baseline="0">
                <a:solidFill>
                  <a:schemeClr val="lt1">
                    <a:lumMod val="85000"/>
                  </a:schemeClr>
                </a:solidFill>
                <a:latin typeface="+mn-lt"/>
                <a:ea typeface="+mn-ea"/>
                <a:cs typeface="+mn-cs"/>
              </a:defRPr>
            </a:pPr>
            <a:endParaRPr lang="en-IL"/>
          </a:p>
        </c:txPr>
        <c:crossAx val="219442560"/>
        <c:crosses val="autoZero"/>
        <c:auto val="1"/>
        <c:lblAlgn val="ctr"/>
        <c:lblOffset val="100"/>
        <c:tickLblSkip val="1"/>
        <c:tickMarkSkip val="3"/>
        <c:noMultiLvlLbl val="0"/>
      </c:catAx>
      <c:valAx>
        <c:axId val="219442560"/>
        <c:scaling>
          <c:orientation val="minMax"/>
        </c:scaling>
        <c:delete val="0"/>
        <c:axPos val="r"/>
        <c:majorGridlines>
          <c:spPr>
            <a:ln w="9525" cap="flat" cmpd="sng" algn="ctr">
              <a:solidFill>
                <a:schemeClr val="dk1">
                  <a:lumMod val="50000"/>
                  <a:lumOff val="50000"/>
                </a:schemeClr>
              </a:solidFill>
              <a:round/>
            </a:ln>
            <a:effectLst/>
          </c:spPr>
        </c:majorGridlines>
        <c:numFmt formatCode="_ * #,##0_ ;_ * \-#,##0_ ;_ * &quot;-&quot;??_ ;_ @_ " sourceLinked="1"/>
        <c:majorTickMark val="none"/>
        <c:minorTickMark val="none"/>
        <c:tickLblPos val="nextTo"/>
        <c:spPr>
          <a:noFill/>
          <a:ln>
            <a:noFill/>
          </a:ln>
          <a:effectLst/>
        </c:spPr>
        <c:txPr>
          <a:bodyPr rot="0" spcFirstLastPara="1" vertOverflow="ellipsis" wrap="square" anchor="ctr" anchorCtr="1"/>
          <a:lstStyle/>
          <a:p>
            <a:pPr>
              <a:defRPr sz="900" b="0" i="0" u="none" strike="noStrike" kern="1200" baseline="0">
                <a:solidFill>
                  <a:schemeClr val="lt1">
                    <a:lumMod val="85000"/>
                  </a:schemeClr>
                </a:solidFill>
                <a:latin typeface="+mn-lt"/>
                <a:ea typeface="+mn-ea"/>
                <a:cs typeface="+mn-cs"/>
              </a:defRPr>
            </a:pPr>
            <a:endParaRPr lang="en-IL"/>
          </a:p>
        </c:txPr>
        <c:crossAx val="2769187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IL"/>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IL"/>
    </a:p>
  </c:txPr>
  <c:printSettings>
    <c:headerFooter alignWithMargins="0">
      <c:oddHeader>&amp;R&amp;"Arial,מודגש"&amp;12&amp;Eעיריית עכו הצעת תקציב לשנת 2016&amp;"Arial,רגיל"&amp;10&amp;E
</c:oddHeader>
      <c:oddFooter>עמוד &amp;P</c:oddFooter>
    </c:headerFooter>
    <c:pageMargins b="0.98425196850393659" l="0.74803149606299613" r="0.74803149606299613" t="0.98425196850393659" header="0.51181102362204722" footer="0.51181102362204722"/>
    <c:pageSetup paperSize="9" orientation="landscape" verticalDpi="300"/>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68">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268">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3.xml><?xml version="1.0" encoding="utf-8"?>
<cs:chartStyle xmlns:cs="http://schemas.microsoft.com/office/drawing/2012/chartStyle" xmlns:a="http://schemas.openxmlformats.org/drawingml/2006/main" id="291">
  <cs:axisTitle>
    <cs:lnRef idx="0"/>
    <cs:fillRef idx="0"/>
    <cs:effectRef idx="0"/>
    <cs:fontRef idx="minor">
      <a:schemeClr val="lt1">
        <a:lumMod val="75000"/>
      </a:schemeClr>
    </cs:fontRef>
    <cs:defRPr sz="900" kern="1200"/>
  </cs:axisTitle>
  <cs:categoryAxis>
    <cs:lnRef idx="0"/>
    <cs:fillRef idx="0"/>
    <cs:effectRef idx="0"/>
    <cs:fontRef idx="minor">
      <a:schemeClr val="lt1">
        <a:lumMod val="75000"/>
      </a:schemeClr>
    </cs:fontRef>
    <cs:defRPr sz="900" kern="1200"/>
  </cs:categoryAxis>
  <cs:chartArea>
    <cs:lnRef idx="0"/>
    <cs:fillRef idx="0"/>
    <cs:effectRef idx="0"/>
    <cs:fontRef idx="minor">
      <a:schemeClr val="lt1"/>
    </cs:fontRef>
    <cs:spPr>
      <a:solidFill>
        <a:schemeClr val="dk1">
          <a:lumMod val="75000"/>
          <a:lumOff val="25000"/>
        </a:schemeClr>
      </a:solidFill>
      <a:ln w="6350" cap="flat" cmpd="sng" algn="ctr">
        <a:solidFill>
          <a:schemeClr val="dk1">
            <a:tint val="75000"/>
          </a:schemeClr>
        </a:solidFill>
        <a:round/>
      </a:ln>
    </cs:spPr>
    <cs:defRPr sz="1000" kern="1200"/>
  </cs:chartArea>
  <cs:dataLabel>
    <cs:lnRef idx="0"/>
    <cs:fillRef idx="0">
      <cs:styleClr val="auto"/>
    </cs:fillRef>
    <cs:effectRef idx="0"/>
    <cs:fontRef idx="minor">
      <a:schemeClr val="lt1"/>
    </cs:fontRef>
    <cs:spPr>
      <a:solidFill>
        <a:schemeClr val="phClr">
          <a:alpha val="30000"/>
        </a:schemeClr>
      </a:solidFill>
      <a:ln>
        <a:solidFill>
          <a:schemeClr val="lt1">
            <a:alpha val="50000"/>
          </a:schemeClr>
        </a:solidFill>
        <a:round/>
      </a:ln>
      <a:effectLst>
        <a:outerShdw blurRad="63500" dist="88900" dir="2700000" algn="tl" rotWithShape="0">
          <a:prstClr val="black">
            <a:alpha val="40000"/>
          </a:prstClr>
        </a:outerShdw>
      </a:effectLst>
    </cs:spPr>
    <cs:defRPr sz="900" b="1" i="0" u="none" strike="noStrike" kern="1200" baseline="0"/>
  </cs:dataLabel>
  <cs:dataLabelCallout>
    <cs:lnRef idx="0"/>
    <cs:fillRef idx="0">
      <cs:styleClr val="auto"/>
    </cs:fillRef>
    <cs:effectRef idx="0"/>
    <cs:fontRef idx="minor">
      <a:schemeClr val="lt1"/>
    </cs:fontRef>
    <cs:spPr>
      <a:solidFill>
        <a:schemeClr val="phClr">
          <a:alpha val="30000"/>
        </a:schemeClr>
      </a:solidFill>
      <a:ln>
        <a:solidFill>
          <a:schemeClr val="lt1">
            <a:alpha val="50000"/>
          </a:schemeClr>
        </a:solidFill>
        <a:round/>
      </a:ln>
      <a:effectLst>
        <a:outerShdw blurRad="63500" dist="88900" dir="2700000" algn="tl" rotWithShape="0">
          <a:prstClr val="black">
            <a:alpha val="40000"/>
          </a:prstClr>
        </a:outerShdw>
      </a:effectLst>
    </cs:spPr>
    <cs:defRPr sz="900" b="1" i="0" u="none" strike="noStrike" kern="1200" baseline="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88000"/>
        </a:schemeClr>
      </a:solidFill>
      <a:ln>
        <a:solidFill>
          <a:schemeClr val="phClr">
            <a:lumMod val="50000"/>
          </a:schemeClr>
        </a:solidFill>
      </a:ln>
    </cs:spPr>
  </cs:dataPoint>
  <cs:dataPoint3D>
    <cs:lnRef idx="0">
      <cs:styleClr val="auto"/>
    </cs:lnRef>
    <cs:fillRef idx="0">
      <cs:styleClr val="auto"/>
    </cs:fillRef>
    <cs:effectRef idx="0"/>
    <cs:fontRef idx="minor">
      <a:schemeClr val="tx1"/>
    </cs:fontRef>
    <cs:spPr>
      <a:solidFill>
        <a:schemeClr val="phClr">
          <a:alpha val="88000"/>
        </a:schemeClr>
      </a:solidFill>
      <a:ln>
        <a:solidFill>
          <a:schemeClr val="phClr">
            <a:lumMod val="50000"/>
          </a:schemeClr>
        </a:solidFill>
      </a:ln>
      <a:scene3d>
        <a:camera prst="orthographicFront"/>
        <a:lightRig rig="threePt" dir="t"/>
      </a:scene3d>
      <a:sp3d prstMaterial="flat"/>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dk1">
            <a:lumMod val="75000"/>
            <a:lumOff val="25000"/>
          </a:schemeClr>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lt1">
        <a:lumMod val="75000"/>
      </a:schemeClr>
    </cs:fontRef>
    <cs:spPr>
      <a:ln w="9525">
        <a:solidFill>
          <a:schemeClr val="dk1">
            <a:lumMod val="50000"/>
            <a:lumOff val="50000"/>
          </a:schemeClr>
        </a:solidFill>
      </a:ln>
    </cs:spPr>
    <cs:defRPr sz="900" kern="1200"/>
  </cs:dataTable>
  <cs:downBar>
    <cs:lnRef idx="0"/>
    <cs:fillRef idx="0"/>
    <cs:effectRef idx="0"/>
    <cs:fontRef idx="minor">
      <a:schemeClr val="lt1"/>
    </cs:fontRef>
    <cs:spPr>
      <a:solidFill>
        <a:schemeClr val="dk1">
          <a:lumMod val="50000"/>
          <a:lumOff val="50000"/>
        </a:schemeClr>
      </a:solidFill>
      <a:ln w="9525">
        <a:solidFill>
          <a:schemeClr val="dk1">
            <a:lumMod val="75000"/>
          </a:schemeClr>
        </a:solidFill>
        <a:round/>
      </a:ln>
    </cs:spPr>
  </cs:downBar>
  <cs:dropLine>
    <cs:lnRef idx="0"/>
    <cs:fillRef idx="0"/>
    <cs:effectRef idx="0"/>
    <cs:fontRef idx="minor">
      <a:schemeClr val="dk1"/>
    </cs:fontRef>
    <cs:spPr>
      <a:ln w="9525">
        <a:solidFill>
          <a:schemeClr val="lt1">
            <a:lumMod val="50000"/>
          </a:schemeClr>
        </a:solidFill>
        <a:round/>
      </a:ln>
    </cs:spPr>
  </cs:dropLine>
  <cs:errorBar>
    <cs:lnRef idx="0"/>
    <cs:fillRef idx="0"/>
    <cs:effectRef idx="0"/>
    <cs:fontRef idx="minor">
      <a:schemeClr val="dk1"/>
    </cs:fontRef>
    <cs:spPr>
      <a:ln w="9525">
        <a:solidFill>
          <a:schemeClr val="lt1">
            <a:lumMod val="50000"/>
          </a:schemeClr>
        </a:solidFill>
        <a:round/>
      </a:ln>
    </cs:spPr>
  </cs:errorBar>
  <cs:floor>
    <cs:lnRef idx="0"/>
    <cs:fillRef idx="0"/>
    <cs:effectRef idx="0"/>
    <cs:fontRef idx="minor">
      <a:schemeClr val="tx1"/>
    </cs:fontRef>
    <cs:spPr>
      <a:solidFill>
        <a:schemeClr val="bg2">
          <a:lumMod val="75000"/>
          <a:alpha val="27000"/>
        </a:schemeClr>
      </a:solidFill>
      <a:sp3d/>
    </cs:spPr>
  </cs:floor>
  <cs:gridlineMajor>
    <cs:lnRef idx="0"/>
    <cs:fillRef idx="0"/>
    <cs:effectRef idx="0"/>
    <cs:fontRef idx="minor">
      <a:schemeClr val="tx1"/>
    </cs:fontRef>
    <cs:spPr>
      <a:ln w="9525">
        <a:solidFill>
          <a:schemeClr val="lt1">
            <a:lumMod val="50000"/>
          </a:schemeClr>
        </a:solidFill>
      </a:ln>
    </cs:spPr>
  </cs:gridlineMajor>
  <cs:gridlineMinor>
    <cs:lnRef idx="0"/>
    <cs:fillRef idx="0"/>
    <cs:effectRef idx="0"/>
    <cs:fontRef idx="minor">
      <a:schemeClr val="tx1"/>
    </cs:fontRef>
    <cs:spPr>
      <a:ln w="9525">
        <a:solidFill>
          <a:schemeClr val="lt1">
            <a:lumMod val="40000"/>
          </a:schemeClr>
        </a:solidFill>
      </a:ln>
    </cs:spPr>
  </cs:gridlineMinor>
  <cs:hiLoLine>
    <cs:lnRef idx="0"/>
    <cs:fillRef idx="0"/>
    <cs:effectRef idx="0"/>
    <cs:fontRef idx="minor">
      <a:schemeClr val="dk1"/>
    </cs:fontRef>
    <cs:spPr>
      <a:ln w="9525">
        <a:solidFill>
          <a:schemeClr val="lt1">
            <a:lumMod val="50000"/>
          </a:schemeClr>
        </a:solidFill>
        <a:round/>
      </a:ln>
    </cs:spPr>
  </cs:hiLoLine>
  <cs:leaderLine>
    <cs:lnRef idx="0"/>
    <cs:fillRef idx="0"/>
    <cs:effectRef idx="0"/>
    <cs:fontRef idx="minor">
      <a:schemeClr val="dk1"/>
    </cs:fontRef>
    <cs:spPr>
      <a:ln w="9525">
        <a:solidFill>
          <a:schemeClr val="lt1">
            <a:lumMod val="50000"/>
          </a:schemeClr>
        </a:solidFill>
        <a:round/>
      </a:ln>
    </cs:spPr>
  </cs:leaderLine>
  <cs:legend>
    <cs:lnRef idx="0"/>
    <cs:fillRef idx="0"/>
    <cs:effectRef idx="0"/>
    <cs:fontRef idx="minor">
      <a:schemeClr val="lt1">
        <a:lumMod val="7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75000"/>
      </a:schemeClr>
    </cs:fontRef>
    <cs:defRPr sz="900" kern="1200"/>
  </cs:seriesAxis>
  <cs:seriesLine>
    <cs:lnRef idx="0"/>
    <cs:fillRef idx="0"/>
    <cs:effectRef idx="0"/>
    <cs:fontRef idx="minor">
      <a:schemeClr val="dk1"/>
    </cs:fontRef>
    <cs:spPr>
      <a:ln w="9525">
        <a:solidFill>
          <a:schemeClr val="lt1">
            <a:lumMod val="50000"/>
          </a:schemeClr>
        </a:solidFill>
        <a:round/>
      </a:ln>
    </cs:spPr>
  </cs:seriesLine>
  <cs:title>
    <cs:lnRef idx="0"/>
    <cs:fillRef idx="0"/>
    <cs:effectRef idx="0"/>
    <cs:fontRef idx="minor">
      <a:schemeClr val="lt1"/>
    </cs:fontRef>
    <cs:defRPr sz="1800" b="0" kern="1200" cap="all" baseline="0"/>
  </cs:title>
  <cs:trendline>
    <cs:lnRef idx="0">
      <cs:styleClr val="auto"/>
    </cs:lnRef>
    <cs:fillRef idx="0"/>
    <cs:effectRef idx="0"/>
    <cs:fontRef idx="minor">
      <a:schemeClr val="dk1"/>
    </cs:fontRef>
    <cs:spPr>
      <a:ln w="9525" cap="rnd">
        <a:solidFill>
          <a:schemeClr val="phClr">
            <a:alpha val="50000"/>
          </a:schemeClr>
        </a:solidFill>
      </a:ln>
    </cs:spPr>
  </cs:trendline>
  <cs:trendlineLabel>
    <cs:lnRef idx="0"/>
    <cs:fillRef idx="0"/>
    <cs:effectRef idx="0"/>
    <cs:fontRef idx="minor">
      <a:schemeClr val="lt1">
        <a:lumMod val="75000"/>
      </a:schemeClr>
    </cs:fontRef>
    <cs:defRPr sz="900" kern="1200"/>
  </cs:trendlineLabel>
  <cs:upBar>
    <cs:lnRef idx="0"/>
    <cs:fillRef idx="0"/>
    <cs:effectRef idx="0"/>
    <cs:fontRef idx="minor">
      <a:schemeClr val="dk1"/>
    </cs:fontRef>
    <cs:spPr>
      <a:solidFill>
        <a:schemeClr val="lt1">
          <a:lumMod val="85000"/>
        </a:schemeClr>
      </a:solidFill>
      <a:ln w="9525">
        <a:solidFill>
          <a:schemeClr val="dk1">
            <a:lumMod val="50000"/>
          </a:schemeClr>
        </a:solidFill>
        <a:round/>
      </a:ln>
    </cs:spPr>
  </cs:upBar>
  <cs:valueAxis>
    <cs:lnRef idx="0"/>
    <cs:fillRef idx="0"/>
    <cs:effectRef idx="0"/>
    <cs:fontRef idx="minor">
      <a:schemeClr val="lt1">
        <a:lumMod val="75000"/>
      </a:schemeClr>
    </cs:fontRef>
    <cs:defRPr sz="900" kern="1200"/>
  </cs:valueAxis>
  <cs:wall>
    <cs:lnRef idx="0"/>
    <cs:fillRef idx="0"/>
    <cs:effectRef idx="0"/>
    <cs:fontRef idx="minor">
      <a:schemeClr val="tx1"/>
    </cs:fontRef>
    <cs:spPr>
      <a:sp3d/>
    </cs:spPr>
  </cs:wall>
</cs:chartStyle>
</file>

<file path=xl/charts/style4.xml><?xml version="1.0" encoding="utf-8"?>
<cs:chartStyle xmlns:cs="http://schemas.microsoft.com/office/drawing/2012/chartStyle" xmlns:a="http://schemas.openxmlformats.org/drawingml/2006/main" id="268">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5.xml><?xml version="1.0" encoding="utf-8"?>
<cs:chartStyle xmlns:cs="http://schemas.microsoft.com/office/drawing/2012/chartStyle" xmlns:a="http://schemas.openxmlformats.org/drawingml/2006/main" id="268">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6.xml><?xml version="1.0" encoding="utf-8"?>
<cs:chartStyle xmlns:cs="http://schemas.microsoft.com/office/drawing/2012/chartStyle" xmlns:a="http://schemas.openxmlformats.org/drawingml/2006/main" id="294">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50000"/>
            <a:lumOff val="50000"/>
          </a:schemeClr>
        </a:solidFill>
        <a:round/>
      </a:ln>
    </cs:spPr>
  </cs:gridlineMajor>
  <cs:gridlineMinor>
    <cs:lnRef idx="0"/>
    <cs:fillRef idx="0"/>
    <cs:effectRef idx="0"/>
    <cs:fontRef idx="minor">
      <a:schemeClr val="tx1"/>
    </cs:fontRef>
    <cs:spPr>
      <a:ln>
        <a:solidFill>
          <a:schemeClr val="dk1">
            <a:lumMod val="60000"/>
            <a:lumOff val="40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1" Type="http://schemas.openxmlformats.org/officeDocument/2006/relationships/chart" Target="../charts/chart5.xml"/></Relationships>
</file>

<file path=xl/drawings/_rels/drawing7.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editAs="oneCell">
    <xdr:from>
      <xdr:col>7</xdr:col>
      <xdr:colOff>431800</xdr:colOff>
      <xdr:row>0</xdr:row>
      <xdr:rowOff>12700</xdr:rowOff>
    </xdr:from>
    <xdr:to>
      <xdr:col>9</xdr:col>
      <xdr:colOff>12700</xdr:colOff>
      <xdr:row>1</xdr:row>
      <xdr:rowOff>194484</xdr:rowOff>
    </xdr:to>
    <xdr:pic>
      <xdr:nvPicPr>
        <xdr:cNvPr id="3" name="Picture 2" descr="קוֹבֶץ זֶה הוּנְגַּש עַל יְדֵי חברת אֵיְי טוּ זִי - סֶמֶל  הַנגישוּת&#13;">
          <a:extLst>
            <a:ext uri="{FF2B5EF4-FFF2-40B4-BE49-F238E27FC236}">
              <a16:creationId xmlns:a16="http://schemas.microsoft.com/office/drawing/2014/main" id="{B691E7F9-8334-F94A-B149-37ACBD33CA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021999800" y="12700"/>
          <a:ext cx="406400" cy="41038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47625</xdr:colOff>
      <xdr:row>1</xdr:row>
      <xdr:rowOff>0</xdr:rowOff>
    </xdr:from>
    <xdr:to>
      <xdr:col>11</xdr:col>
      <xdr:colOff>333375</xdr:colOff>
      <xdr:row>27</xdr:row>
      <xdr:rowOff>76200</xdr:rowOff>
    </xdr:to>
    <xdr:graphicFrame macro="">
      <xdr:nvGraphicFramePr>
        <xdr:cNvPr id="6310707" name="Chart 1">
          <a:extLst>
            <a:ext uri="{FF2B5EF4-FFF2-40B4-BE49-F238E27FC236}">
              <a16:creationId xmlns:a16="http://schemas.microsoft.com/office/drawing/2014/main" id="{00000000-0008-0000-0500-0000334B6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13</xdr:col>
      <xdr:colOff>5769</xdr:colOff>
      <xdr:row>18</xdr:row>
      <xdr:rowOff>133350</xdr:rowOff>
    </xdr:from>
    <xdr:ext cx="184731" cy="254557"/>
    <xdr:sp macro="" textlink="">
      <xdr:nvSpPr>
        <xdr:cNvPr id="4" name="TextBox 3">
          <a:extLst>
            <a:ext uri="{FF2B5EF4-FFF2-40B4-BE49-F238E27FC236}">
              <a16:creationId xmlns:a16="http://schemas.microsoft.com/office/drawing/2014/main" id="{00000000-0008-0000-0500-000004000000}"/>
            </a:ext>
          </a:extLst>
        </xdr:cNvPr>
        <xdr:cNvSpPr txBox="1"/>
      </xdr:nvSpPr>
      <xdr:spPr>
        <a:xfrm>
          <a:off x="9979923525" y="3467100"/>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pPr algn="r" rtl="1"/>
          <a:endParaRPr lang="he-IL" sz="1100"/>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152400</xdr:colOff>
      <xdr:row>5</xdr:row>
      <xdr:rowOff>0</xdr:rowOff>
    </xdr:from>
    <xdr:to>
      <xdr:col>10</xdr:col>
      <xdr:colOff>542925</xdr:colOff>
      <xdr:row>33</xdr:row>
      <xdr:rowOff>38100</xdr:rowOff>
    </xdr:to>
    <xdr:graphicFrame macro="">
      <xdr:nvGraphicFramePr>
        <xdr:cNvPr id="6312755" name="Chart 1">
          <a:extLst>
            <a:ext uri="{FF2B5EF4-FFF2-40B4-BE49-F238E27FC236}">
              <a16:creationId xmlns:a16="http://schemas.microsoft.com/office/drawing/2014/main" id="{00000000-0008-0000-0600-000033536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xdr:row>
      <xdr:rowOff>0</xdr:rowOff>
    </xdr:from>
    <xdr:to>
      <xdr:col>11</xdr:col>
      <xdr:colOff>238125</xdr:colOff>
      <xdr:row>30</xdr:row>
      <xdr:rowOff>66675</xdr:rowOff>
    </xdr:to>
    <xdr:graphicFrame macro="">
      <xdr:nvGraphicFramePr>
        <xdr:cNvPr id="9668131" name="Chart 1">
          <a:extLst>
            <a:ext uri="{FF2B5EF4-FFF2-40B4-BE49-F238E27FC236}">
              <a16:creationId xmlns:a16="http://schemas.microsoft.com/office/drawing/2014/main" id="{00000000-0008-0000-0700-0000238693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10</xdr:col>
      <xdr:colOff>733425</xdr:colOff>
      <xdr:row>31</xdr:row>
      <xdr:rowOff>142875</xdr:rowOff>
    </xdr:from>
    <xdr:to>
      <xdr:col>11</xdr:col>
      <xdr:colOff>47625</xdr:colOff>
      <xdr:row>32</xdr:row>
      <xdr:rowOff>152400</xdr:rowOff>
    </xdr:to>
    <xdr:sp macro="" textlink="">
      <xdr:nvSpPr>
        <xdr:cNvPr id="9668132" name="Text Box 2">
          <a:extLst>
            <a:ext uri="{FF2B5EF4-FFF2-40B4-BE49-F238E27FC236}">
              <a16:creationId xmlns:a16="http://schemas.microsoft.com/office/drawing/2014/main" id="{00000000-0008-0000-0700-000024869300}"/>
            </a:ext>
          </a:extLst>
        </xdr:cNvPr>
        <xdr:cNvSpPr txBox="1">
          <a:spLocks noChangeArrowheads="1"/>
        </xdr:cNvSpPr>
      </xdr:nvSpPr>
      <xdr:spPr bwMode="auto">
        <a:xfrm>
          <a:off x="186880500" y="5857875"/>
          <a:ext cx="76200" cy="200025"/>
        </a:xfrm>
        <a:prstGeom prst="rect">
          <a:avLst/>
        </a:prstGeom>
        <a:noFill/>
        <a:ln w="9525">
          <a:no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1</xdr:row>
      <xdr:rowOff>0</xdr:rowOff>
    </xdr:from>
    <xdr:to>
      <xdr:col>11</xdr:col>
      <xdr:colOff>1123950</xdr:colOff>
      <xdr:row>36</xdr:row>
      <xdr:rowOff>114300</xdr:rowOff>
    </xdr:to>
    <xdr:graphicFrame macro="">
      <xdr:nvGraphicFramePr>
        <xdr:cNvPr id="6315827" name="Chart 1">
          <a:extLst>
            <a:ext uri="{FF2B5EF4-FFF2-40B4-BE49-F238E27FC236}">
              <a16:creationId xmlns:a16="http://schemas.microsoft.com/office/drawing/2014/main" id="{00000000-0008-0000-0800-0000335F6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38100</xdr:rowOff>
    </xdr:from>
    <xdr:to>
      <xdr:col>11</xdr:col>
      <xdr:colOff>238125</xdr:colOff>
      <xdr:row>31</xdr:row>
      <xdr:rowOff>85725</xdr:rowOff>
    </xdr:to>
    <xdr:graphicFrame macro="">
      <xdr:nvGraphicFramePr>
        <xdr:cNvPr id="6317875" name="Chart 2">
          <a:extLst>
            <a:ext uri="{FF2B5EF4-FFF2-40B4-BE49-F238E27FC236}">
              <a16:creationId xmlns:a16="http://schemas.microsoft.com/office/drawing/2014/main" id="{00000000-0008-0000-0900-000033676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xdr:row>
      <xdr:rowOff>9525</xdr:rowOff>
    </xdr:from>
    <xdr:to>
      <xdr:col>8</xdr:col>
      <xdr:colOff>838200</xdr:colOff>
      <xdr:row>34</xdr:row>
      <xdr:rowOff>161924</xdr:rowOff>
    </xdr:to>
    <xdr:graphicFrame macro="">
      <xdr:nvGraphicFramePr>
        <xdr:cNvPr id="6319923" name="Chart 2">
          <a:extLst>
            <a:ext uri="{FF2B5EF4-FFF2-40B4-BE49-F238E27FC236}">
              <a16:creationId xmlns:a16="http://schemas.microsoft.com/office/drawing/2014/main" id="{00000000-0008-0000-0A00-0000336F6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menahemn/Local%20Settings/Temporary%20Internet%20Files/Content.Outlook/LTED0LYO/&#1514;&#1511;&#1510;&#1497;&#1489;%20&#1511;&#1493;&#1489;&#1509;%20&#1500;&#1506;&#1491;&#1499;&#1493;&#150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1513;&#1493;&#1500;&#1495;&#1503;%20&#1506;&#1489;&#1493;&#1491;&#1492;/&#1514;&#1511;&#1510;&#1497;&#1489;/&#1514;&#1511;&#1510;&#1497;&#1489;%202018/&#1512;&#1493;&#1493;&#1495;&#1492;/&#1514;&#1511;&#1510;&#1497;&#1489;%20&#1512;&#1493;&#1493;&#1495;&#1492;%20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טופס 2 מפורט"/>
      <sheetName val="טופס 2"/>
      <sheetName val="תקציב 2012 נכון להיום"/>
    </sheetNames>
    <sheetDataSet>
      <sheetData sheetId="0" refreshError="1"/>
      <sheetData sheetId="1" refreshError="1"/>
      <sheetData sheetId="2">
        <row r="2">
          <cell r="A2">
            <v>1111100100</v>
          </cell>
          <cell r="B2" t="str">
            <v>ארנונה כללית</v>
          </cell>
          <cell r="C2">
            <v>88276000</v>
          </cell>
          <cell r="D2">
            <v>89665000</v>
          </cell>
          <cell r="E2">
            <v>67773191.840000004</v>
          </cell>
        </row>
        <row r="3">
          <cell r="A3">
            <v>1111200100</v>
          </cell>
          <cell r="B3" t="str">
            <v>ארנונה כללית פיגורים</v>
          </cell>
          <cell r="C3">
            <v>11500000</v>
          </cell>
          <cell r="D3">
            <v>10500000</v>
          </cell>
          <cell r="E3">
            <v>9168704.0299999993</v>
          </cell>
        </row>
        <row r="4">
          <cell r="A4">
            <v>1111200216</v>
          </cell>
          <cell r="B4" t="str">
            <v>הוצאות רישום ועיקול32-</v>
          </cell>
          <cell r="C4">
            <v>0</v>
          </cell>
          <cell r="E4">
            <v>168.2</v>
          </cell>
        </row>
        <row r="5">
          <cell r="A5">
            <v>1111300100</v>
          </cell>
          <cell r="B5" t="str">
            <v>ארנונה ע"ח  מטה אשר* לא בשמוש</v>
          </cell>
          <cell r="C5">
            <v>0</v>
          </cell>
          <cell r="E5">
            <v>0</v>
          </cell>
        </row>
        <row r="6">
          <cell r="A6">
            <v>1111300291</v>
          </cell>
          <cell r="B6" t="str">
            <v>ארנונה השתתפות מטה אשר</v>
          </cell>
          <cell r="C6">
            <v>480000</v>
          </cell>
          <cell r="D6">
            <v>500000</v>
          </cell>
          <cell r="E6">
            <v>206855.85</v>
          </cell>
        </row>
        <row r="7">
          <cell r="A7">
            <v>1111400100</v>
          </cell>
          <cell r="B7" t="str">
            <v>ארנונה  מרפאל</v>
          </cell>
          <cell r="C7">
            <v>4750000</v>
          </cell>
          <cell r="D7">
            <v>4650000</v>
          </cell>
          <cell r="E7">
            <v>4666862</v>
          </cell>
        </row>
        <row r="8">
          <cell r="A8">
            <v>1113000290</v>
          </cell>
          <cell r="B8" t="str">
            <v>הנחות מסים</v>
          </cell>
          <cell r="C8">
            <v>18000000</v>
          </cell>
          <cell r="D8">
            <v>19500000</v>
          </cell>
          <cell r="E8">
            <v>9049196</v>
          </cell>
        </row>
        <row r="9">
          <cell r="A9">
            <v>1121000220</v>
          </cell>
          <cell r="B9" t="str">
            <v>תעודות ואישורים</v>
          </cell>
          <cell r="C9">
            <v>18000</v>
          </cell>
          <cell r="D9">
            <v>18000</v>
          </cell>
          <cell r="E9">
            <v>0</v>
          </cell>
        </row>
        <row r="10">
          <cell r="A10">
            <v>1122000220</v>
          </cell>
          <cell r="B10" t="str">
            <v>אגרות רשיונות לשלטים</v>
          </cell>
          <cell r="C10">
            <v>1750000</v>
          </cell>
          <cell r="D10">
            <v>1550000</v>
          </cell>
          <cell r="E10">
            <v>1190173.1299999999</v>
          </cell>
        </row>
        <row r="11">
          <cell r="A11">
            <v>1122000221</v>
          </cell>
          <cell r="B11" t="str">
            <v>אגרת שלטים פיגורים</v>
          </cell>
          <cell r="E11">
            <v>7870.96</v>
          </cell>
        </row>
        <row r="12">
          <cell r="A12">
            <v>1123000220</v>
          </cell>
          <cell r="B12" t="str">
            <v>הכנסות גביה מתאגיד מים</v>
          </cell>
          <cell r="C12">
            <v>0</v>
          </cell>
          <cell r="E12">
            <v>0</v>
          </cell>
        </row>
        <row r="13">
          <cell r="A13">
            <v>1124100220</v>
          </cell>
          <cell r="B13" t="str">
            <v>מודעות על לוחות</v>
          </cell>
          <cell r="C13">
            <v>7000</v>
          </cell>
          <cell r="D13">
            <v>7000</v>
          </cell>
          <cell r="E13">
            <v>2183</v>
          </cell>
        </row>
        <row r="14">
          <cell r="A14">
            <v>1129100220</v>
          </cell>
          <cell r="B14" t="str">
            <v>הוצ.רישום ועיקול סוג ש</v>
          </cell>
          <cell r="C14">
            <v>28000</v>
          </cell>
          <cell r="D14">
            <v>28000</v>
          </cell>
          <cell r="E14">
            <v>5741.59</v>
          </cell>
        </row>
        <row r="15">
          <cell r="A15">
            <v>1129100221</v>
          </cell>
          <cell r="B15" t="str">
            <v>הכנסות גביה עיקול בנק_</v>
          </cell>
          <cell r="C15">
            <v>350000</v>
          </cell>
          <cell r="D15">
            <v>250000</v>
          </cell>
          <cell r="E15">
            <v>299777.53000000003</v>
          </cell>
        </row>
        <row r="16">
          <cell r="A16">
            <v>1160000662</v>
          </cell>
          <cell r="B16" t="str">
            <v>הכנסות מימון</v>
          </cell>
          <cell r="C16">
            <v>3600000</v>
          </cell>
          <cell r="D16">
            <v>3500000</v>
          </cell>
          <cell r="E16">
            <v>1326049.76</v>
          </cell>
        </row>
        <row r="17">
          <cell r="A17">
            <v>1191000910</v>
          </cell>
          <cell r="B17" t="str">
            <v>מענק כללי_לאיזון</v>
          </cell>
          <cell r="C17">
            <v>39335000</v>
          </cell>
          <cell r="D17">
            <v>39345334</v>
          </cell>
          <cell r="E17">
            <v>25525719.809999999</v>
          </cell>
        </row>
        <row r="18">
          <cell r="A18">
            <v>1192000910</v>
          </cell>
          <cell r="B18" t="str">
            <v>מענקים אחר' למשרד הפנים</v>
          </cell>
          <cell r="C18">
            <v>1400000</v>
          </cell>
          <cell r="D18">
            <v>1400000</v>
          </cell>
          <cell r="E18">
            <v>700000</v>
          </cell>
        </row>
        <row r="19">
          <cell r="A19">
            <v>1194000910</v>
          </cell>
          <cell r="B19" t="str">
            <v>השתתפות מ. הפנים מ.מות</v>
          </cell>
          <cell r="C19">
            <v>0</v>
          </cell>
          <cell r="E19">
            <v>0</v>
          </cell>
        </row>
        <row r="20">
          <cell r="A20">
            <v>1194000912</v>
          </cell>
          <cell r="B20" t="str">
            <v>פיצוי שחיקת שכר</v>
          </cell>
          <cell r="C20">
            <v>0</v>
          </cell>
          <cell r="E20">
            <v>0</v>
          </cell>
        </row>
        <row r="21">
          <cell r="A21">
            <v>1196000910</v>
          </cell>
          <cell r="B21" t="str">
            <v>פיצוי בגין שחיקת מים</v>
          </cell>
          <cell r="C21">
            <v>0</v>
          </cell>
          <cell r="E21">
            <v>0</v>
          </cell>
        </row>
        <row r="22">
          <cell r="A22">
            <v>1212300241</v>
          </cell>
          <cell r="B22" t="str">
            <v>פינוי אשפה קציני ים</v>
          </cell>
          <cell r="C22">
            <v>0</v>
          </cell>
          <cell r="E22">
            <v>0</v>
          </cell>
        </row>
        <row r="23">
          <cell r="A23">
            <v>1212300290</v>
          </cell>
          <cell r="B23" t="str">
            <v>מכולות ופסולת</v>
          </cell>
          <cell r="C23">
            <v>0</v>
          </cell>
          <cell r="E23">
            <v>0</v>
          </cell>
        </row>
        <row r="24">
          <cell r="A24">
            <v>1212300690</v>
          </cell>
          <cell r="B24" t="str">
            <v>מכרזים-תברואה</v>
          </cell>
          <cell r="C24">
            <v>2000</v>
          </cell>
          <cell r="D24">
            <v>8000</v>
          </cell>
          <cell r="E24">
            <v>17000</v>
          </cell>
        </row>
        <row r="25">
          <cell r="A25">
            <v>1212400220</v>
          </cell>
          <cell r="B25" t="str">
            <v>אגרת נקוי חצרות</v>
          </cell>
          <cell r="C25">
            <v>500000</v>
          </cell>
          <cell r="D25">
            <v>700000</v>
          </cell>
          <cell r="E25">
            <v>527559.94999999995</v>
          </cell>
        </row>
        <row r="26">
          <cell r="A26">
            <v>1212400221</v>
          </cell>
          <cell r="B26" t="str">
            <v>אג.נקוי חצרות פיגורים</v>
          </cell>
          <cell r="C26">
            <v>200000</v>
          </cell>
          <cell r="E26">
            <v>3206.54</v>
          </cell>
        </row>
        <row r="27">
          <cell r="A27">
            <v>1213000220</v>
          </cell>
          <cell r="B27" t="str">
            <v>למלאכה ותעשיה-רישוי עס</v>
          </cell>
          <cell r="C27">
            <v>41000</v>
          </cell>
          <cell r="D27">
            <v>41000</v>
          </cell>
          <cell r="E27">
            <v>37153</v>
          </cell>
        </row>
        <row r="28">
          <cell r="A28">
            <v>1213000221</v>
          </cell>
          <cell r="B28" t="str">
            <v>רוכלים</v>
          </cell>
          <cell r="C28">
            <v>0</v>
          </cell>
          <cell r="E28">
            <v>0</v>
          </cell>
        </row>
        <row r="29">
          <cell r="A29">
            <v>1214200220</v>
          </cell>
          <cell r="B29" t="str">
            <v>לכידת בעלי חיים107-</v>
          </cell>
          <cell r="C29">
            <v>0</v>
          </cell>
          <cell r="D29">
            <v>8000</v>
          </cell>
          <cell r="E29">
            <v>0</v>
          </cell>
        </row>
        <row r="30">
          <cell r="A30">
            <v>1214200221</v>
          </cell>
          <cell r="B30" t="str">
            <v>דמי בדיקת בשר קפוא</v>
          </cell>
          <cell r="C30">
            <v>50000</v>
          </cell>
          <cell r="D30">
            <v>102000</v>
          </cell>
          <cell r="E30">
            <v>40569</v>
          </cell>
        </row>
        <row r="31">
          <cell r="A31">
            <v>1214200490</v>
          </cell>
          <cell r="B31" t="str">
            <v>לכידת סוסים</v>
          </cell>
          <cell r="C31">
            <v>0</v>
          </cell>
          <cell r="E31">
            <v>0</v>
          </cell>
        </row>
        <row r="32">
          <cell r="A32">
            <v>1214200960</v>
          </cell>
          <cell r="B32" t="str">
            <v>השתתפות מש.החקלאות סירוס חתולים</v>
          </cell>
          <cell r="C32">
            <v>100000</v>
          </cell>
          <cell r="D32">
            <v>100000</v>
          </cell>
          <cell r="E32">
            <v>0</v>
          </cell>
        </row>
        <row r="33">
          <cell r="A33">
            <v>1214201220</v>
          </cell>
          <cell r="B33" t="str">
            <v>כללי וטרינר106-</v>
          </cell>
          <cell r="C33">
            <v>0</v>
          </cell>
          <cell r="E33">
            <v>0</v>
          </cell>
        </row>
        <row r="34">
          <cell r="A34">
            <v>1214300220</v>
          </cell>
          <cell r="B34" t="str">
            <v>דמי חיסון אגרות ושבבים</v>
          </cell>
          <cell r="C34">
            <v>120000</v>
          </cell>
          <cell r="D34">
            <v>113000</v>
          </cell>
          <cell r="E34">
            <v>82476.5</v>
          </cell>
        </row>
        <row r="35">
          <cell r="A35">
            <v>1214300690</v>
          </cell>
          <cell r="B35" t="str">
            <v>מלחמה בכלבת</v>
          </cell>
          <cell r="C35">
            <v>0</v>
          </cell>
          <cell r="E35">
            <v>0</v>
          </cell>
        </row>
        <row r="36">
          <cell r="A36">
            <v>1214300691</v>
          </cell>
          <cell r="B36" t="str">
            <v>סימון שבבים אלקטרוניים</v>
          </cell>
          <cell r="C36">
            <v>0</v>
          </cell>
          <cell r="E36">
            <v>0</v>
          </cell>
        </row>
        <row r="37">
          <cell r="A37">
            <v>1214301220</v>
          </cell>
          <cell r="B37" t="str">
            <v>קנסות וטרינר109-</v>
          </cell>
          <cell r="C37">
            <v>40000</v>
          </cell>
          <cell r="D37">
            <v>40000</v>
          </cell>
          <cell r="E37">
            <v>22318</v>
          </cell>
        </row>
        <row r="38">
          <cell r="A38">
            <v>1215200910</v>
          </cell>
          <cell r="B38" t="str">
            <v>השתתפות איכות הסביבה</v>
          </cell>
          <cell r="C38">
            <v>0</v>
          </cell>
          <cell r="E38">
            <v>0</v>
          </cell>
        </row>
        <row r="39">
          <cell r="A39">
            <v>1222000440</v>
          </cell>
          <cell r="B39" t="str">
            <v>שמירה בטחונית</v>
          </cell>
          <cell r="C39">
            <v>14000</v>
          </cell>
          <cell r="D39">
            <v>14000</v>
          </cell>
          <cell r="E39">
            <v>30340</v>
          </cell>
        </row>
        <row r="40">
          <cell r="A40">
            <v>1222000910</v>
          </cell>
          <cell r="B40" t="str">
            <v>השתתפות מ.שיטור קהילתי</v>
          </cell>
          <cell r="C40">
            <v>0</v>
          </cell>
          <cell r="E40">
            <v>0</v>
          </cell>
        </row>
        <row r="41">
          <cell r="A41">
            <v>1222100400</v>
          </cell>
          <cell r="B41" t="str">
            <v>אג.שמירה  פיגור</v>
          </cell>
          <cell r="C41">
            <v>300000</v>
          </cell>
          <cell r="D41">
            <v>220000</v>
          </cell>
          <cell r="E41">
            <v>206748.47</v>
          </cell>
        </row>
        <row r="42">
          <cell r="A42">
            <v>1222100440</v>
          </cell>
          <cell r="B42" t="str">
            <v>אגרת שמירה</v>
          </cell>
          <cell r="C42">
            <v>2000000</v>
          </cell>
          <cell r="D42">
            <v>1952233</v>
          </cell>
          <cell r="E42">
            <v>1446162.97</v>
          </cell>
        </row>
        <row r="43">
          <cell r="A43">
            <v>1222100910</v>
          </cell>
          <cell r="B43" t="str">
            <v>השתת.משרד הפנים משא"ז</v>
          </cell>
          <cell r="C43">
            <v>20000</v>
          </cell>
          <cell r="D43">
            <v>20000</v>
          </cell>
          <cell r="E43">
            <v>0</v>
          </cell>
        </row>
        <row r="44">
          <cell r="A44">
            <v>1223000410</v>
          </cell>
          <cell r="B44" t="str">
            <v>הכנסות המטווח</v>
          </cell>
          <cell r="C44">
            <v>0</v>
          </cell>
          <cell r="D44">
            <v>6000</v>
          </cell>
          <cell r="E44">
            <v>0</v>
          </cell>
        </row>
        <row r="45">
          <cell r="A45">
            <v>1233000690</v>
          </cell>
          <cell r="B45" t="str">
            <v>מתן מידע</v>
          </cell>
          <cell r="C45">
            <v>8000</v>
          </cell>
          <cell r="D45">
            <v>8000</v>
          </cell>
          <cell r="E45">
            <v>6139</v>
          </cell>
        </row>
        <row r="46">
          <cell r="A46">
            <v>1233100220</v>
          </cell>
          <cell r="B46" t="str">
            <v>אגרת רשיונות בניה</v>
          </cell>
          <cell r="C46">
            <v>2500000</v>
          </cell>
          <cell r="D46">
            <v>1350000</v>
          </cell>
          <cell r="E46">
            <v>2094229.5</v>
          </cell>
        </row>
        <row r="47">
          <cell r="A47">
            <v>1233200220</v>
          </cell>
          <cell r="B47" t="str">
            <v>אגרת חפירה</v>
          </cell>
          <cell r="C47">
            <v>0</v>
          </cell>
          <cell r="E47">
            <v>385</v>
          </cell>
        </row>
        <row r="48">
          <cell r="A48">
            <v>1233200290</v>
          </cell>
          <cell r="B48" t="str">
            <v>היטל השבחה_ס.ש757.</v>
          </cell>
          <cell r="C48">
            <v>1500000</v>
          </cell>
          <cell r="D48">
            <v>2500000</v>
          </cell>
          <cell r="E48">
            <v>414026.7</v>
          </cell>
        </row>
        <row r="49">
          <cell r="A49">
            <v>1233300290</v>
          </cell>
          <cell r="B49" t="str">
            <v>אגרת מבנים מסוכנים</v>
          </cell>
          <cell r="C49">
            <v>5000</v>
          </cell>
          <cell r="D49">
            <v>1500</v>
          </cell>
          <cell r="E49">
            <v>245</v>
          </cell>
        </row>
        <row r="50">
          <cell r="A50">
            <v>1242000215</v>
          </cell>
          <cell r="B50" t="str">
            <v>יתרת כבישים ומדרכות</v>
          </cell>
          <cell r="C50">
            <v>18000</v>
          </cell>
          <cell r="D50">
            <v>18000</v>
          </cell>
          <cell r="E50">
            <v>0</v>
          </cell>
        </row>
        <row r="51">
          <cell r="A51">
            <v>1242000220</v>
          </cell>
          <cell r="B51" t="str">
            <v>דמי שמוש במדרכה</v>
          </cell>
          <cell r="C51">
            <v>140000</v>
          </cell>
          <cell r="D51">
            <v>140000</v>
          </cell>
          <cell r="E51">
            <v>120678.57</v>
          </cell>
        </row>
        <row r="52">
          <cell r="A52">
            <v>1242000221</v>
          </cell>
          <cell r="B52" t="str">
            <v>כבישים</v>
          </cell>
          <cell r="C52">
            <v>0</v>
          </cell>
          <cell r="E52">
            <v>0</v>
          </cell>
        </row>
        <row r="53">
          <cell r="A53">
            <v>1242000690</v>
          </cell>
          <cell r="B53" t="str">
            <v>הנדסה-מכרזים</v>
          </cell>
          <cell r="C53">
            <v>18000</v>
          </cell>
          <cell r="D53">
            <v>18000</v>
          </cell>
          <cell r="E53">
            <v>32000</v>
          </cell>
        </row>
        <row r="54">
          <cell r="A54">
            <v>1246100960</v>
          </cell>
          <cell r="B54" t="str">
            <v>גינון-מש החקלאות</v>
          </cell>
          <cell r="C54">
            <v>0</v>
          </cell>
          <cell r="E54">
            <v>0</v>
          </cell>
        </row>
        <row r="55">
          <cell r="A55">
            <v>1247200420</v>
          </cell>
          <cell r="B55" t="str">
            <v>הכנסות חופי רחצה</v>
          </cell>
          <cell r="C55">
            <v>0</v>
          </cell>
          <cell r="E55">
            <v>0</v>
          </cell>
        </row>
        <row r="56">
          <cell r="A56">
            <v>1261000421</v>
          </cell>
          <cell r="B56" t="str">
            <v>שירותי מוקד</v>
          </cell>
          <cell r="C56">
            <v>150000</v>
          </cell>
          <cell r="D56">
            <v>150000</v>
          </cell>
          <cell r="E56">
            <v>87500</v>
          </cell>
        </row>
        <row r="57">
          <cell r="A57">
            <v>1269000662</v>
          </cell>
          <cell r="B57" t="str">
            <v>הכנסות שונות</v>
          </cell>
          <cell r="C57">
            <v>0</v>
          </cell>
          <cell r="E57">
            <v>11753.53</v>
          </cell>
        </row>
        <row r="58">
          <cell r="A58">
            <v>1269000780</v>
          </cell>
          <cell r="B58" t="str">
            <v>שונות</v>
          </cell>
          <cell r="C58">
            <v>0</v>
          </cell>
          <cell r="E58">
            <v>50000</v>
          </cell>
        </row>
        <row r="59">
          <cell r="A59">
            <v>1269000790</v>
          </cell>
          <cell r="B59" t="str">
            <v>הכנסות שונות</v>
          </cell>
          <cell r="C59">
            <v>125000</v>
          </cell>
          <cell r="D59">
            <v>120000</v>
          </cell>
          <cell r="E59">
            <v>80889.88</v>
          </cell>
        </row>
        <row r="60">
          <cell r="A60">
            <v>1269100662</v>
          </cell>
          <cell r="B60" t="str">
            <v>החזר עמלות</v>
          </cell>
          <cell r="C60">
            <v>0</v>
          </cell>
          <cell r="E60">
            <v>0</v>
          </cell>
        </row>
        <row r="61">
          <cell r="A61">
            <v>1281000215</v>
          </cell>
          <cell r="B61" t="str">
            <v>יתרת אג.שימור רחובות8-</v>
          </cell>
          <cell r="C61">
            <v>50000</v>
          </cell>
          <cell r="D61">
            <v>50000</v>
          </cell>
          <cell r="E61">
            <v>54509.43</v>
          </cell>
        </row>
        <row r="62">
          <cell r="A62">
            <v>1281000221</v>
          </cell>
          <cell r="B62" t="str">
            <v>ב.ק.מפגעי תברואה</v>
          </cell>
          <cell r="C62">
            <v>0</v>
          </cell>
          <cell r="E62">
            <v>0</v>
          </cell>
        </row>
        <row r="63">
          <cell r="A63">
            <v>1281000222</v>
          </cell>
          <cell r="B63" t="str">
            <v>ב.ק. שילוט</v>
          </cell>
          <cell r="C63">
            <v>0</v>
          </cell>
          <cell r="E63">
            <v>0</v>
          </cell>
        </row>
        <row r="64">
          <cell r="A64">
            <v>1281000223</v>
          </cell>
          <cell r="B64" t="str">
            <v>ב.ק. רוכלים</v>
          </cell>
          <cell r="C64">
            <v>0</v>
          </cell>
          <cell r="E64">
            <v>0</v>
          </cell>
        </row>
        <row r="65">
          <cell r="A65">
            <v>1281000224</v>
          </cell>
          <cell r="B65" t="str">
            <v>ב.ק. הגנה על צמתים</v>
          </cell>
          <cell r="C65">
            <v>0</v>
          </cell>
          <cell r="E65">
            <v>0</v>
          </cell>
        </row>
        <row r="66">
          <cell r="A66">
            <v>1281000230</v>
          </cell>
          <cell r="B66" t="str">
            <v>ב.ק. שונות</v>
          </cell>
          <cell r="C66">
            <v>0</v>
          </cell>
          <cell r="E66">
            <v>0</v>
          </cell>
        </row>
        <row r="67">
          <cell r="A67">
            <v>1282000490</v>
          </cell>
          <cell r="B67" t="str">
            <v>הכנסות משפטיות</v>
          </cell>
          <cell r="C67">
            <v>300000</v>
          </cell>
          <cell r="D67">
            <v>50000</v>
          </cell>
          <cell r="E67">
            <v>387588.7</v>
          </cell>
        </row>
        <row r="68">
          <cell r="A68">
            <v>1311000690</v>
          </cell>
          <cell r="B68" t="str">
            <v>מכרזים</v>
          </cell>
          <cell r="C68">
            <v>0</v>
          </cell>
          <cell r="E68">
            <v>6000</v>
          </cell>
        </row>
        <row r="69">
          <cell r="A69">
            <v>1312200440</v>
          </cell>
          <cell r="B69" t="str">
            <v>חדר מלח מרכז לגיל הרך</v>
          </cell>
          <cell r="C69">
            <v>20000</v>
          </cell>
          <cell r="E69">
            <v>18445</v>
          </cell>
        </row>
        <row r="70">
          <cell r="A70">
            <v>1312200790</v>
          </cell>
          <cell r="B70" t="str">
            <v>הגיל הרך-יעדים לצפון</v>
          </cell>
          <cell r="C70">
            <v>143460</v>
          </cell>
          <cell r="D70">
            <v>343460</v>
          </cell>
          <cell r="E70">
            <v>0</v>
          </cell>
        </row>
        <row r="71">
          <cell r="A71">
            <v>1312200920</v>
          </cell>
          <cell r="B71" t="str">
            <v>השתת' הממשלה לעוזרות ג</v>
          </cell>
          <cell r="C71">
            <v>0</v>
          </cell>
          <cell r="E71">
            <v>0</v>
          </cell>
        </row>
        <row r="72">
          <cell r="A72">
            <v>1312210920</v>
          </cell>
          <cell r="B72" t="str">
            <v>גנ"י קדם חובה</v>
          </cell>
          <cell r="C72">
            <v>11250000</v>
          </cell>
          <cell r="D72">
            <v>11028986</v>
          </cell>
          <cell r="E72">
            <v>8000148.9900000002</v>
          </cell>
        </row>
        <row r="73">
          <cell r="A73">
            <v>1312220920</v>
          </cell>
          <cell r="B73" t="str">
            <v>שכר גננות עובדות מדינה לא עודפות</v>
          </cell>
          <cell r="C73">
            <v>2800000</v>
          </cell>
          <cell r="D73">
            <v>2800000</v>
          </cell>
          <cell r="E73">
            <v>2028092</v>
          </cell>
        </row>
        <row r="74">
          <cell r="A74">
            <v>1312230920</v>
          </cell>
          <cell r="B74" t="str">
            <v>פ.העשרה חנ"מ גנ"י</v>
          </cell>
          <cell r="C74">
            <v>25000</v>
          </cell>
          <cell r="D74">
            <v>18554</v>
          </cell>
          <cell r="E74">
            <v>27728.9</v>
          </cell>
        </row>
        <row r="75">
          <cell r="A75">
            <v>1312500440</v>
          </cell>
          <cell r="B75" t="str">
            <v>פנימיות יום-גנ"י</v>
          </cell>
          <cell r="C75">
            <v>1054726</v>
          </cell>
          <cell r="D75">
            <v>932710</v>
          </cell>
          <cell r="E75">
            <v>627063</v>
          </cell>
        </row>
        <row r="76">
          <cell r="A76">
            <v>1312501440</v>
          </cell>
          <cell r="B76" t="str">
            <v>הכנסות מהורים מילת</v>
          </cell>
          <cell r="C76">
            <v>324900</v>
          </cell>
          <cell r="D76">
            <v>285000</v>
          </cell>
          <cell r="E76">
            <v>466243</v>
          </cell>
        </row>
        <row r="77">
          <cell r="A77">
            <v>1312501441</v>
          </cell>
          <cell r="B77" t="str">
            <v>השתתפות העירייה למילת</v>
          </cell>
          <cell r="C77">
            <v>0</v>
          </cell>
          <cell r="E77">
            <v>0</v>
          </cell>
        </row>
        <row r="78">
          <cell r="A78">
            <v>1312501920</v>
          </cell>
          <cell r="B78" t="str">
            <v>הכנסות מילת</v>
          </cell>
          <cell r="C78">
            <v>1395121</v>
          </cell>
          <cell r="D78">
            <v>1311000</v>
          </cell>
          <cell r="E78">
            <v>721404</v>
          </cell>
        </row>
        <row r="79">
          <cell r="A79">
            <v>1313200410</v>
          </cell>
          <cell r="B79" t="str">
            <v>השתת' הורים לבת'"ס</v>
          </cell>
          <cell r="C79">
            <v>0</v>
          </cell>
          <cell r="E79">
            <v>61880</v>
          </cell>
        </row>
        <row r="80">
          <cell r="A80">
            <v>1313200440</v>
          </cell>
          <cell r="B80" t="str">
            <v>מפעל הזנה</v>
          </cell>
          <cell r="C80">
            <v>0</v>
          </cell>
          <cell r="E80">
            <v>0</v>
          </cell>
        </row>
        <row r="81">
          <cell r="A81">
            <v>1313200921</v>
          </cell>
          <cell r="B81" t="str">
            <v>מפעל הזנה</v>
          </cell>
          <cell r="C81">
            <v>0</v>
          </cell>
          <cell r="E81">
            <v>0</v>
          </cell>
        </row>
        <row r="82">
          <cell r="A82">
            <v>1313201410</v>
          </cell>
          <cell r="B82" t="str">
            <v>השתתפות אשלים</v>
          </cell>
          <cell r="C82">
            <v>50000</v>
          </cell>
          <cell r="D82">
            <v>50000</v>
          </cell>
          <cell r="E82">
            <v>0</v>
          </cell>
        </row>
        <row r="83">
          <cell r="A83">
            <v>1313201920</v>
          </cell>
          <cell r="B83" t="str">
            <v>תוכניות חינוכיות-התוכנית הלאומית שמיד</v>
          </cell>
          <cell r="C83">
            <v>763220</v>
          </cell>
          <cell r="D83">
            <v>763320</v>
          </cell>
          <cell r="E83">
            <v>87718.45</v>
          </cell>
        </row>
        <row r="84">
          <cell r="A84">
            <v>1313202920</v>
          </cell>
          <cell r="B84" t="str">
            <v>תוכנית התקשוב הלאומית</v>
          </cell>
          <cell r="C84">
            <v>0</v>
          </cell>
          <cell r="E84">
            <v>0</v>
          </cell>
        </row>
        <row r="85">
          <cell r="A85">
            <v>1313204920</v>
          </cell>
          <cell r="B85" t="str">
            <v>מזכירים יסודי ח.רגיל</v>
          </cell>
          <cell r="C85">
            <v>900000</v>
          </cell>
          <cell r="D85">
            <v>870636</v>
          </cell>
          <cell r="E85">
            <v>805982.17</v>
          </cell>
        </row>
        <row r="86">
          <cell r="A86">
            <v>1313205920</v>
          </cell>
          <cell r="B86" t="str">
            <v>שרתים חינוך יסודי רגיל</v>
          </cell>
          <cell r="C86">
            <v>2715000</v>
          </cell>
          <cell r="D86">
            <v>2643696</v>
          </cell>
          <cell r="E86">
            <v>2485037.96</v>
          </cell>
        </row>
        <row r="87">
          <cell r="A87">
            <v>1313213920</v>
          </cell>
          <cell r="B87" t="str">
            <v>סייעות טיפוליות</v>
          </cell>
          <cell r="C87">
            <v>1170000</v>
          </cell>
          <cell r="D87">
            <v>1155000</v>
          </cell>
          <cell r="E87">
            <v>964331.51</v>
          </cell>
        </row>
        <row r="88">
          <cell r="A88">
            <v>1313213921</v>
          </cell>
          <cell r="B88" t="str">
            <v>משרד הבריאות-סייעות</v>
          </cell>
          <cell r="C88">
            <v>0</v>
          </cell>
          <cell r="E88">
            <v>0</v>
          </cell>
        </row>
        <row r="89">
          <cell r="A89">
            <v>1313221920</v>
          </cell>
          <cell r="B89" t="str">
            <v>סל תלמיד לעולה יסודי</v>
          </cell>
          <cell r="C89">
            <v>27500</v>
          </cell>
          <cell r="D89">
            <v>15000</v>
          </cell>
          <cell r="E89">
            <v>27045.919999999998</v>
          </cell>
        </row>
        <row r="90">
          <cell r="A90">
            <v>1313222920</v>
          </cell>
          <cell r="B90" t="str">
            <v>דמי שכפול יסודי</v>
          </cell>
          <cell r="C90">
            <v>246505</v>
          </cell>
          <cell r="D90">
            <v>246505</v>
          </cell>
          <cell r="E90">
            <v>174971</v>
          </cell>
        </row>
        <row r="91">
          <cell r="A91">
            <v>1313223920</v>
          </cell>
          <cell r="B91" t="str">
            <v>שיפוצי קיצ מוס"ח</v>
          </cell>
          <cell r="C91">
            <v>265000</v>
          </cell>
          <cell r="D91">
            <v>264616.8</v>
          </cell>
          <cell r="E91">
            <v>265851.03999999998</v>
          </cell>
        </row>
        <row r="92">
          <cell r="A92">
            <v>1313300920</v>
          </cell>
          <cell r="B92" t="str">
            <v>הזנת יוח'א</v>
          </cell>
          <cell r="C92">
            <v>161616</v>
          </cell>
          <cell r="D92">
            <v>161616</v>
          </cell>
          <cell r="E92">
            <v>99840</v>
          </cell>
        </row>
        <row r="93">
          <cell r="A93">
            <v>1313300940</v>
          </cell>
          <cell r="B93" t="str">
            <v>חינוך מיוחד מש.הבריאות</v>
          </cell>
          <cell r="C93">
            <v>0</v>
          </cell>
          <cell r="E93">
            <v>0</v>
          </cell>
        </row>
        <row r="94">
          <cell r="A94">
            <v>1313304920</v>
          </cell>
          <cell r="B94" t="str">
            <v>מזכירים יסודי ח.מיוחד</v>
          </cell>
          <cell r="C94">
            <v>155000</v>
          </cell>
          <cell r="D94">
            <v>147500</v>
          </cell>
          <cell r="E94">
            <v>139597.26999999999</v>
          </cell>
        </row>
        <row r="95">
          <cell r="A95">
            <v>1313305920</v>
          </cell>
          <cell r="B95" t="str">
            <v>שרתים יסודי חנ"מ</v>
          </cell>
          <cell r="C95">
            <v>375000</v>
          </cell>
          <cell r="D95">
            <v>353500</v>
          </cell>
          <cell r="E95">
            <v>296051.28999999998</v>
          </cell>
        </row>
        <row r="96">
          <cell r="A96">
            <v>1313313920</v>
          </cell>
          <cell r="B96" t="str">
            <v>סייעות כיתתיות+יוח"א ח</v>
          </cell>
          <cell r="C96">
            <v>1995000</v>
          </cell>
          <cell r="D96">
            <v>1976000</v>
          </cell>
          <cell r="E96">
            <v>1527831.55</v>
          </cell>
        </row>
        <row r="97">
          <cell r="A97">
            <v>1313317410</v>
          </cell>
          <cell r="B97" t="str">
            <v>ילדי חוץ</v>
          </cell>
          <cell r="C97">
            <v>1100000</v>
          </cell>
          <cell r="D97">
            <v>1050000</v>
          </cell>
          <cell r="E97">
            <v>1163302</v>
          </cell>
        </row>
        <row r="98">
          <cell r="A98">
            <v>1313322920</v>
          </cell>
          <cell r="B98" t="str">
            <v>דמי שכפול חינוך מיוחד</v>
          </cell>
          <cell r="C98">
            <v>28241</v>
          </cell>
          <cell r="D98">
            <v>28241</v>
          </cell>
          <cell r="E98">
            <v>0</v>
          </cell>
        </row>
        <row r="99">
          <cell r="A99">
            <v>1313330920</v>
          </cell>
          <cell r="B99" t="str">
            <v>פעולות העשרה ח.מיוחד</v>
          </cell>
          <cell r="C99">
            <v>105000</v>
          </cell>
          <cell r="D99">
            <v>103500</v>
          </cell>
          <cell r="E99">
            <v>168899.68</v>
          </cell>
        </row>
        <row r="100">
          <cell r="A100">
            <v>1313700920</v>
          </cell>
          <cell r="B100" t="str">
            <v>מרכז ימי</v>
          </cell>
          <cell r="C100">
            <v>13227</v>
          </cell>
          <cell r="D100">
            <v>9900</v>
          </cell>
          <cell r="E100">
            <v>0</v>
          </cell>
        </row>
        <row r="101">
          <cell r="A101">
            <v>1313704920</v>
          </cell>
          <cell r="B101" t="str">
            <v>מזכירים חוות ומרכזים</v>
          </cell>
          <cell r="C101">
            <v>25000</v>
          </cell>
          <cell r="D101">
            <v>25000</v>
          </cell>
          <cell r="E101">
            <v>18844.080000000002</v>
          </cell>
        </row>
        <row r="102">
          <cell r="A102">
            <v>1313705920</v>
          </cell>
          <cell r="B102" t="str">
            <v>שרתים חוות ומרכזים</v>
          </cell>
          <cell r="C102">
            <v>65000</v>
          </cell>
          <cell r="D102">
            <v>65000</v>
          </cell>
          <cell r="E102">
            <v>59130.720000000001</v>
          </cell>
        </row>
        <row r="103">
          <cell r="A103">
            <v>1315700700</v>
          </cell>
          <cell r="B103" t="str">
            <v>השתתפות אורט מקיף ערבי</v>
          </cell>
          <cell r="C103">
            <v>13000000</v>
          </cell>
          <cell r="D103">
            <v>12000000</v>
          </cell>
          <cell r="E103">
            <v>12000000</v>
          </cell>
        </row>
        <row r="104">
          <cell r="A104">
            <v>1315701920</v>
          </cell>
          <cell r="B104" t="str">
            <v>שכל"מ מקיף ערבי</v>
          </cell>
          <cell r="C104">
            <v>0</v>
          </cell>
          <cell r="E104">
            <v>0</v>
          </cell>
        </row>
        <row r="105">
          <cell r="A105">
            <v>1315777700</v>
          </cell>
          <cell r="B105" t="str">
            <v>השתתפות אורט</v>
          </cell>
          <cell r="C105">
            <v>15000000</v>
          </cell>
          <cell r="D105">
            <v>16000000</v>
          </cell>
          <cell r="E105">
            <v>16000000</v>
          </cell>
        </row>
        <row r="106">
          <cell r="A106">
            <v>1315788700</v>
          </cell>
          <cell r="B106" t="str">
            <v>השתתפות אמית</v>
          </cell>
          <cell r="C106">
            <v>7000000</v>
          </cell>
          <cell r="D106">
            <v>7000000</v>
          </cell>
          <cell r="E106">
            <v>7000000</v>
          </cell>
        </row>
        <row r="107">
          <cell r="A107">
            <v>1316800440</v>
          </cell>
          <cell r="B107" t="str">
            <v>הסעות מחוננים</v>
          </cell>
          <cell r="C107">
            <v>0</v>
          </cell>
          <cell r="E107">
            <v>0</v>
          </cell>
        </row>
        <row r="108">
          <cell r="A108">
            <v>1316800790</v>
          </cell>
          <cell r="B108" t="str">
            <v>קרן מילגות עירוני</v>
          </cell>
          <cell r="C108">
            <v>0</v>
          </cell>
          <cell r="E108">
            <v>0</v>
          </cell>
        </row>
        <row r="109">
          <cell r="A109">
            <v>1317100920</v>
          </cell>
          <cell r="B109" t="str">
            <v>קב"ט</v>
          </cell>
          <cell r="C109">
            <v>165000</v>
          </cell>
          <cell r="D109">
            <v>162915</v>
          </cell>
          <cell r="E109">
            <v>129017.61</v>
          </cell>
        </row>
        <row r="110">
          <cell r="A110">
            <v>1317100990</v>
          </cell>
          <cell r="B110" t="str">
            <v>אבטחה מוסדות חינוך</v>
          </cell>
          <cell r="C110">
            <v>825636</v>
          </cell>
          <cell r="D110">
            <v>825636</v>
          </cell>
          <cell r="E110">
            <v>481771.51</v>
          </cell>
        </row>
        <row r="111">
          <cell r="A111">
            <v>1317200920</v>
          </cell>
          <cell r="B111" t="str">
            <v>משרדי ממשלה-פסג"ה</v>
          </cell>
          <cell r="C111">
            <v>57775</v>
          </cell>
          <cell r="D111">
            <v>57775</v>
          </cell>
          <cell r="E111">
            <v>2164.1999999999998</v>
          </cell>
        </row>
        <row r="112">
          <cell r="A112">
            <v>1317300920</v>
          </cell>
          <cell r="B112" t="str">
            <v>השתתפות הממשלה בשפ"י</v>
          </cell>
          <cell r="C112">
            <v>1650000</v>
          </cell>
          <cell r="D112">
            <v>1647606</v>
          </cell>
          <cell r="E112">
            <v>1221636.6599999999</v>
          </cell>
        </row>
        <row r="113">
          <cell r="A113">
            <v>1317301920</v>
          </cell>
          <cell r="B113" t="str">
            <v>הדרכת פסיכולוגים</v>
          </cell>
          <cell r="C113">
            <v>55334</v>
          </cell>
          <cell r="D113">
            <v>55334</v>
          </cell>
          <cell r="E113">
            <v>42218.38</v>
          </cell>
        </row>
        <row r="114">
          <cell r="A114">
            <v>1317500410</v>
          </cell>
          <cell r="B114" t="str">
            <v>הכ.-בטוח תאונות אישיות</v>
          </cell>
          <cell r="C114">
            <v>168500</v>
          </cell>
          <cell r="D114">
            <v>168500</v>
          </cell>
          <cell r="E114">
            <v>172998</v>
          </cell>
        </row>
        <row r="115">
          <cell r="A115">
            <v>1317600420</v>
          </cell>
          <cell r="B115" t="str">
            <v>השתת' הורים בטפוח</v>
          </cell>
          <cell r="C115">
            <v>0</v>
          </cell>
          <cell r="E115">
            <v>0</v>
          </cell>
        </row>
        <row r="116">
          <cell r="A116">
            <v>1317600920</v>
          </cell>
          <cell r="B116" t="str">
            <v>השתתפות משרד החנוך</v>
          </cell>
          <cell r="C116">
            <v>1446326</v>
          </cell>
          <cell r="D116">
            <v>1446326</v>
          </cell>
          <cell r="E116">
            <v>1834967.7</v>
          </cell>
        </row>
        <row r="117">
          <cell r="A117">
            <v>1317700920</v>
          </cell>
          <cell r="B117" t="str">
            <v>מועדוניות_וקב"ס</v>
          </cell>
          <cell r="C117">
            <v>223282</v>
          </cell>
          <cell r="D117">
            <v>223282</v>
          </cell>
          <cell r="E117">
            <v>175058.13</v>
          </cell>
        </row>
        <row r="118">
          <cell r="A118">
            <v>1317701920</v>
          </cell>
          <cell r="B118" t="str">
            <v>קב"סים</v>
          </cell>
          <cell r="C118">
            <v>400000</v>
          </cell>
          <cell r="D118">
            <v>450000</v>
          </cell>
          <cell r="E118">
            <v>290965.68</v>
          </cell>
        </row>
        <row r="119">
          <cell r="A119">
            <v>1317702920</v>
          </cell>
          <cell r="B119" t="str">
            <v>מגשרת עולים</v>
          </cell>
          <cell r="C119">
            <v>27562</v>
          </cell>
          <cell r="D119">
            <v>27562</v>
          </cell>
          <cell r="E119">
            <v>2296</v>
          </cell>
        </row>
        <row r="120">
          <cell r="A120">
            <v>1317800440</v>
          </cell>
          <cell r="B120" t="str">
            <v>הסעות חינוך מיוחד</v>
          </cell>
          <cell r="C120">
            <v>0</v>
          </cell>
          <cell r="E120">
            <v>0</v>
          </cell>
        </row>
        <row r="121">
          <cell r="A121">
            <v>1317800920</v>
          </cell>
          <cell r="B121" t="str">
            <v>השתת.ממשלה בהסעות</v>
          </cell>
          <cell r="C121">
            <v>5150000</v>
          </cell>
          <cell r="D121">
            <v>5290766</v>
          </cell>
          <cell r="E121">
            <v>3380577.74</v>
          </cell>
        </row>
        <row r="122">
          <cell r="A122">
            <v>1317801920</v>
          </cell>
          <cell r="B122" t="str">
            <v>ליווי הסעות חנ"מ</v>
          </cell>
          <cell r="C122">
            <v>1215000</v>
          </cell>
          <cell r="D122">
            <v>1145228</v>
          </cell>
          <cell r="E122">
            <v>918931.09</v>
          </cell>
        </row>
        <row r="123">
          <cell r="A123">
            <v>1317900790</v>
          </cell>
          <cell r="B123" t="str">
            <v>מתאם סמים מס חוזה 123300</v>
          </cell>
          <cell r="C123">
            <v>0</v>
          </cell>
          <cell r="E123">
            <v>36667</v>
          </cell>
        </row>
        <row r="124">
          <cell r="A124">
            <v>1317904920</v>
          </cell>
          <cell r="B124" t="str">
            <v>מתי"א -מזכירים</v>
          </cell>
          <cell r="C124">
            <v>94000</v>
          </cell>
          <cell r="D124">
            <v>94000</v>
          </cell>
          <cell r="E124">
            <v>76506.97</v>
          </cell>
        </row>
        <row r="125">
          <cell r="A125">
            <v>1317905920</v>
          </cell>
          <cell r="B125" t="str">
            <v>מתי"א -שרתים</v>
          </cell>
          <cell r="C125">
            <v>47000</v>
          </cell>
          <cell r="D125">
            <v>47000</v>
          </cell>
          <cell r="E125">
            <v>38067.550000000003</v>
          </cell>
        </row>
        <row r="126">
          <cell r="A126">
            <v>1317910441</v>
          </cell>
          <cell r="B126" t="str">
            <v>מכון לחינוך דמוקרטי-עי</v>
          </cell>
          <cell r="C126">
            <v>0</v>
          </cell>
          <cell r="E126">
            <v>0</v>
          </cell>
        </row>
        <row r="127">
          <cell r="A127">
            <v>1317922920</v>
          </cell>
          <cell r="B127" t="str">
            <v>מתי"א אגרת שכפול</v>
          </cell>
          <cell r="C127">
            <v>27244</v>
          </cell>
          <cell r="D127">
            <v>27244</v>
          </cell>
          <cell r="E127">
            <v>0</v>
          </cell>
        </row>
        <row r="128">
          <cell r="A128">
            <v>1317950790</v>
          </cell>
          <cell r="B128" t="str">
            <v>מרכז נוער ישובי/שכונתי התוכנית הלאומית-מש.חינוך</v>
          </cell>
          <cell r="C128">
            <v>500000</v>
          </cell>
          <cell r="D128">
            <v>500000</v>
          </cell>
          <cell r="E128">
            <v>166666</v>
          </cell>
        </row>
        <row r="129">
          <cell r="A129">
            <v>1317950920</v>
          </cell>
          <cell r="B129" t="str">
            <v>התוכנית הלאומית-מש.חינוך</v>
          </cell>
          <cell r="C129">
            <v>0</v>
          </cell>
          <cell r="E129">
            <v>0</v>
          </cell>
        </row>
        <row r="130">
          <cell r="A130">
            <v>1317951920</v>
          </cell>
          <cell r="B130" t="str">
            <v>השתת.מינהל חברה ונוער</v>
          </cell>
          <cell r="C130">
            <v>75000</v>
          </cell>
          <cell r="D130">
            <v>75000</v>
          </cell>
          <cell r="E130">
            <v>0</v>
          </cell>
        </row>
        <row r="131">
          <cell r="A131">
            <v>1317952920</v>
          </cell>
          <cell r="B131" t="str">
            <v>קרן רש"י (השתתפות במנ"ע)</v>
          </cell>
          <cell r="C131">
            <v>300000</v>
          </cell>
          <cell r="D131">
            <v>700000</v>
          </cell>
          <cell r="E131">
            <v>382956</v>
          </cell>
        </row>
        <row r="132">
          <cell r="A132">
            <v>1317960920</v>
          </cell>
          <cell r="B132" t="str">
            <v>יחידה לקידום נוער</v>
          </cell>
          <cell r="C132">
            <v>275000</v>
          </cell>
          <cell r="D132">
            <v>275000</v>
          </cell>
          <cell r="E132">
            <v>0</v>
          </cell>
        </row>
        <row r="133">
          <cell r="A133">
            <v>1319999410</v>
          </cell>
          <cell r="B133" t="str">
            <v>פרויקט נאסן עמותה לקידום מצו.השתתפות מרכז השלטון</v>
          </cell>
          <cell r="C133">
            <v>0</v>
          </cell>
          <cell r="E133">
            <v>0</v>
          </cell>
        </row>
        <row r="134">
          <cell r="A134">
            <v>1319999920</v>
          </cell>
          <cell r="B134" t="str">
            <v>טיפול בפרט</v>
          </cell>
          <cell r="C134">
            <v>25000</v>
          </cell>
          <cell r="D134">
            <v>25000</v>
          </cell>
          <cell r="E134">
            <v>0</v>
          </cell>
        </row>
        <row r="135">
          <cell r="A135">
            <v>1322000410</v>
          </cell>
          <cell r="B135" t="str">
            <v>הכנסות מכרטיסים</v>
          </cell>
          <cell r="C135">
            <v>280000</v>
          </cell>
          <cell r="D135">
            <v>280000</v>
          </cell>
          <cell r="E135">
            <v>0</v>
          </cell>
        </row>
        <row r="136">
          <cell r="A136">
            <v>1322000411</v>
          </cell>
          <cell r="B136" t="str">
            <v>חסויות</v>
          </cell>
          <cell r="C136">
            <v>150000</v>
          </cell>
          <cell r="D136">
            <v>140000</v>
          </cell>
          <cell r="E136">
            <v>14875</v>
          </cell>
        </row>
        <row r="137">
          <cell r="A137">
            <v>1322000740</v>
          </cell>
          <cell r="B137" t="str">
            <v>מפעל הפיס פסטיבל עכו</v>
          </cell>
          <cell r="C137">
            <v>100000</v>
          </cell>
          <cell r="D137">
            <v>150000</v>
          </cell>
          <cell r="E137">
            <v>0</v>
          </cell>
        </row>
        <row r="138">
          <cell r="A138">
            <v>1322000790</v>
          </cell>
          <cell r="B138" t="str">
            <v>רש.לפיתוח הגליל פסטיבל עכו</v>
          </cell>
          <cell r="C138">
            <v>170000</v>
          </cell>
          <cell r="D138">
            <v>170000</v>
          </cell>
          <cell r="E138">
            <v>0</v>
          </cell>
        </row>
        <row r="139">
          <cell r="A139">
            <v>1322000920</v>
          </cell>
          <cell r="B139" t="str">
            <v>משרד התרבות</v>
          </cell>
          <cell r="C139">
            <v>1600000</v>
          </cell>
          <cell r="D139">
            <v>1600000</v>
          </cell>
          <cell r="E139">
            <v>0</v>
          </cell>
        </row>
        <row r="140">
          <cell r="A140">
            <v>1322000990</v>
          </cell>
          <cell r="B140" t="str">
            <v>תיירות</v>
          </cell>
          <cell r="C140">
            <v>80000</v>
          </cell>
          <cell r="D140">
            <v>120000</v>
          </cell>
          <cell r="E140">
            <v>0</v>
          </cell>
        </row>
        <row r="141">
          <cell r="A141">
            <v>1323000420</v>
          </cell>
          <cell r="B141" t="str">
            <v>הכנסות מספריות</v>
          </cell>
          <cell r="C141">
            <v>21000</v>
          </cell>
          <cell r="D141">
            <v>21000</v>
          </cell>
          <cell r="E141">
            <v>14069</v>
          </cell>
        </row>
        <row r="142">
          <cell r="A142">
            <v>1323000990</v>
          </cell>
          <cell r="B142" t="str">
            <v>ספריות הכנסות ממשלה</v>
          </cell>
          <cell r="C142">
            <v>0</v>
          </cell>
          <cell r="E142">
            <v>0</v>
          </cell>
        </row>
        <row r="143">
          <cell r="A143">
            <v>1325200220</v>
          </cell>
          <cell r="B143" t="str">
            <v>דמי שירות</v>
          </cell>
          <cell r="C143">
            <v>1400000</v>
          </cell>
          <cell r="D143">
            <v>1400000</v>
          </cell>
          <cell r="E143">
            <v>824111.76</v>
          </cell>
        </row>
        <row r="144">
          <cell r="A144">
            <v>1325200410</v>
          </cell>
          <cell r="B144" t="str">
            <v>סדרת צלילי מוצ"ש</v>
          </cell>
          <cell r="C144">
            <v>50000</v>
          </cell>
          <cell r="D144">
            <v>50000</v>
          </cell>
          <cell r="E144">
            <v>15620</v>
          </cell>
        </row>
        <row r="145">
          <cell r="A145">
            <v>1325200700</v>
          </cell>
          <cell r="B145" t="str">
            <v>קרן מלגות פרידמן ומגבית קנדה</v>
          </cell>
          <cell r="C145">
            <v>249406</v>
          </cell>
          <cell r="D145">
            <v>249406</v>
          </cell>
          <cell r="E145">
            <v>249406</v>
          </cell>
        </row>
        <row r="146">
          <cell r="A146">
            <v>1325200920</v>
          </cell>
          <cell r="B146" t="str">
            <v>השתתפות הממשלה לתזמורת</v>
          </cell>
          <cell r="C146">
            <v>630000</v>
          </cell>
          <cell r="D146">
            <v>630000</v>
          </cell>
          <cell r="E146">
            <v>234320.8</v>
          </cell>
        </row>
        <row r="147">
          <cell r="A147">
            <v>1326200420</v>
          </cell>
          <cell r="B147" t="str">
            <v>הכנסות ממוזיאונים</v>
          </cell>
          <cell r="C147">
            <v>0</v>
          </cell>
          <cell r="E147">
            <v>0</v>
          </cell>
        </row>
        <row r="148">
          <cell r="A148">
            <v>1329300440</v>
          </cell>
          <cell r="B148" t="str">
            <v>מתקני ספורט</v>
          </cell>
          <cell r="C148">
            <v>0</v>
          </cell>
          <cell r="E148">
            <v>0</v>
          </cell>
        </row>
        <row r="149">
          <cell r="A149">
            <v>1329300920</v>
          </cell>
          <cell r="B149" t="str">
            <v>הכנסות מסל ספורט</v>
          </cell>
          <cell r="C149">
            <v>120000</v>
          </cell>
          <cell r="D149">
            <v>120000</v>
          </cell>
          <cell r="E149">
            <v>66597</v>
          </cell>
        </row>
        <row r="150">
          <cell r="A150">
            <v>1340000920</v>
          </cell>
          <cell r="B150" t="str">
            <v>משרדי ממשלה-רווחה</v>
          </cell>
          <cell r="C150">
            <v>0</v>
          </cell>
          <cell r="E150">
            <v>0</v>
          </cell>
        </row>
        <row r="151">
          <cell r="A151">
            <v>1341000420</v>
          </cell>
          <cell r="B151" t="str">
            <v>השתתפות שכר</v>
          </cell>
          <cell r="C151">
            <v>95420</v>
          </cell>
          <cell r="D151">
            <v>95420</v>
          </cell>
          <cell r="E151">
            <v>116920.87</v>
          </cell>
        </row>
        <row r="152">
          <cell r="A152">
            <v>1341000930</v>
          </cell>
          <cell r="B152" t="str">
            <v>שכר עובדי לשכות</v>
          </cell>
          <cell r="C152">
            <v>5247000</v>
          </cell>
          <cell r="D152">
            <v>4850000</v>
          </cell>
          <cell r="E152">
            <v>4300770</v>
          </cell>
        </row>
        <row r="153">
          <cell r="A153">
            <v>1341000931</v>
          </cell>
          <cell r="B153" t="str">
            <v>הוצאות מנהליות</v>
          </cell>
          <cell r="C153">
            <v>0</v>
          </cell>
          <cell r="E153">
            <v>0</v>
          </cell>
        </row>
        <row r="154">
          <cell r="A154">
            <v>1341000933</v>
          </cell>
          <cell r="B154" t="str">
            <v>פעולות ארגוניות</v>
          </cell>
          <cell r="C154">
            <v>15000</v>
          </cell>
          <cell r="D154">
            <v>15000</v>
          </cell>
          <cell r="E154">
            <v>15000</v>
          </cell>
        </row>
        <row r="155">
          <cell r="A155">
            <v>1341000934</v>
          </cell>
          <cell r="B155" t="str">
            <v>כ"א לחינוך המיוחד</v>
          </cell>
          <cell r="C155">
            <v>103000</v>
          </cell>
          <cell r="D155">
            <v>103000</v>
          </cell>
          <cell r="E155">
            <v>73579</v>
          </cell>
        </row>
        <row r="156">
          <cell r="A156">
            <v>1341000935</v>
          </cell>
          <cell r="B156" t="str">
            <v>הערכות המחלקות לש"ח</v>
          </cell>
          <cell r="C156">
            <v>0</v>
          </cell>
          <cell r="E156">
            <v>0</v>
          </cell>
        </row>
        <row r="157">
          <cell r="A157">
            <v>1341000936</v>
          </cell>
          <cell r="B157" t="str">
            <v>מחשוב מחלקות רווחה</v>
          </cell>
          <cell r="C157">
            <v>16500</v>
          </cell>
          <cell r="D157">
            <v>16500</v>
          </cell>
          <cell r="E157">
            <v>0</v>
          </cell>
        </row>
        <row r="158">
          <cell r="A158">
            <v>1341000937</v>
          </cell>
          <cell r="B158" t="str">
            <v>בטחון עובדים-מאבטחים</v>
          </cell>
          <cell r="C158">
            <v>20100</v>
          </cell>
          <cell r="D158">
            <v>20100</v>
          </cell>
          <cell r="E158">
            <v>10107</v>
          </cell>
        </row>
        <row r="159">
          <cell r="A159">
            <v>1342200930</v>
          </cell>
          <cell r="B159" t="str">
            <v>משפחות במצוקה בקהילה</v>
          </cell>
          <cell r="C159">
            <v>122700</v>
          </cell>
          <cell r="D159">
            <v>122700</v>
          </cell>
          <cell r="E159">
            <v>74670</v>
          </cell>
        </row>
        <row r="160">
          <cell r="A160">
            <v>1342200931</v>
          </cell>
          <cell r="B160" t="str">
            <v>טיפול באלכוהוליסטים</v>
          </cell>
          <cell r="C160">
            <v>0</v>
          </cell>
          <cell r="E160">
            <v>46920</v>
          </cell>
        </row>
        <row r="161">
          <cell r="A161">
            <v>1342200932</v>
          </cell>
          <cell r="B161" t="str">
            <v>קיטנות לאמהות</v>
          </cell>
          <cell r="C161">
            <v>0</v>
          </cell>
          <cell r="D161">
            <v>2600</v>
          </cell>
          <cell r="E161">
            <v>0</v>
          </cell>
        </row>
        <row r="162">
          <cell r="A162">
            <v>1342200933</v>
          </cell>
          <cell r="B162" t="str">
            <v>סיוע למשפחות עם ילדים</v>
          </cell>
          <cell r="C162">
            <v>112500</v>
          </cell>
          <cell r="D162">
            <v>112500</v>
          </cell>
          <cell r="E162">
            <v>82344</v>
          </cell>
        </row>
        <row r="163">
          <cell r="A163">
            <v>1342200934</v>
          </cell>
          <cell r="B163" t="str">
            <v>מס. ארציות לדרי רחוב</v>
          </cell>
          <cell r="C163">
            <v>1500</v>
          </cell>
          <cell r="D163">
            <v>1500</v>
          </cell>
          <cell r="E163">
            <v>0</v>
          </cell>
        </row>
        <row r="164">
          <cell r="A164">
            <v>1342200935</v>
          </cell>
          <cell r="B164" t="str">
            <v>תגבור אזור העימות</v>
          </cell>
          <cell r="C164">
            <v>0</v>
          </cell>
          <cell r="E164">
            <v>0</v>
          </cell>
        </row>
        <row r="165">
          <cell r="A165">
            <v>1342200936</v>
          </cell>
          <cell r="B165" t="str">
            <v>מקלטים לנשים מוכות</v>
          </cell>
          <cell r="C165">
            <v>112500</v>
          </cell>
          <cell r="D165">
            <v>112500</v>
          </cell>
          <cell r="E165">
            <v>156635</v>
          </cell>
        </row>
        <row r="166">
          <cell r="A166">
            <v>1342200937</v>
          </cell>
          <cell r="B166" t="str">
            <v>דרי רחוב-חיזוק הצפון</v>
          </cell>
          <cell r="C166">
            <v>0</v>
          </cell>
          <cell r="E166">
            <v>0</v>
          </cell>
        </row>
        <row r="167">
          <cell r="A167">
            <v>1342200938</v>
          </cell>
          <cell r="B167" t="str">
            <v>סיוע חד פעמי לחימום</v>
          </cell>
          <cell r="C167">
            <v>0</v>
          </cell>
          <cell r="E167">
            <v>0</v>
          </cell>
        </row>
        <row r="168">
          <cell r="A168">
            <v>1342400420</v>
          </cell>
          <cell r="B168" t="str">
            <v>טיפול בפרט ובמשפחה</v>
          </cell>
          <cell r="C168">
            <v>0</v>
          </cell>
          <cell r="E168">
            <v>0</v>
          </cell>
        </row>
        <row r="169">
          <cell r="A169">
            <v>1342400931</v>
          </cell>
          <cell r="B169" t="str">
            <v>תחנות לטיפול במשפחה</v>
          </cell>
          <cell r="C169">
            <v>9000</v>
          </cell>
          <cell r="D169">
            <v>9000</v>
          </cell>
          <cell r="E169">
            <v>0</v>
          </cell>
        </row>
        <row r="170">
          <cell r="A170">
            <v>1342400935</v>
          </cell>
          <cell r="B170" t="str">
            <v>מרכזי טיפול באלימות</v>
          </cell>
          <cell r="C170">
            <v>37500</v>
          </cell>
          <cell r="D170">
            <v>37500</v>
          </cell>
          <cell r="E170">
            <v>28470</v>
          </cell>
        </row>
        <row r="171">
          <cell r="A171">
            <v>1342400936</v>
          </cell>
          <cell r="B171" t="str">
            <v>סדנאות למשפחה</v>
          </cell>
          <cell r="C171">
            <v>0</v>
          </cell>
          <cell r="E171">
            <v>0</v>
          </cell>
        </row>
        <row r="172">
          <cell r="A172">
            <v>1342401930</v>
          </cell>
          <cell r="B172" t="str">
            <v>ת. לאומית פרט ומשפחה</v>
          </cell>
          <cell r="C172">
            <v>180000</v>
          </cell>
          <cell r="D172">
            <v>180000</v>
          </cell>
          <cell r="E172">
            <v>0</v>
          </cell>
        </row>
        <row r="173">
          <cell r="A173">
            <v>1343500420</v>
          </cell>
          <cell r="B173" t="str">
            <v>פעולות קהלתיות</v>
          </cell>
          <cell r="C173">
            <v>0</v>
          </cell>
          <cell r="E173">
            <v>1108</v>
          </cell>
        </row>
        <row r="174">
          <cell r="A174">
            <v>1343500931</v>
          </cell>
          <cell r="B174" t="str">
            <v>טיפול במשפחות אומנה</v>
          </cell>
          <cell r="C174">
            <v>140750</v>
          </cell>
          <cell r="D174">
            <v>140750</v>
          </cell>
          <cell r="E174">
            <v>98550</v>
          </cell>
        </row>
        <row r="175">
          <cell r="A175">
            <v>1343500932</v>
          </cell>
          <cell r="B175" t="str">
            <v>טיפול בילד בקהילה</v>
          </cell>
          <cell r="C175">
            <v>466600</v>
          </cell>
          <cell r="D175">
            <v>466600</v>
          </cell>
          <cell r="E175">
            <v>348153</v>
          </cell>
        </row>
        <row r="176">
          <cell r="A176">
            <v>1343500933</v>
          </cell>
          <cell r="B176" t="str">
            <v>ת.לאומית-אוטיסטים</v>
          </cell>
          <cell r="C176">
            <v>0</v>
          </cell>
          <cell r="E176">
            <v>0</v>
          </cell>
        </row>
        <row r="177">
          <cell r="A177">
            <v>1343500934</v>
          </cell>
          <cell r="B177" t="str">
            <v>ת.לאומית-ילד ונוער</v>
          </cell>
          <cell r="C177">
            <v>285820</v>
          </cell>
          <cell r="D177">
            <v>285820</v>
          </cell>
          <cell r="E177">
            <v>195949</v>
          </cell>
        </row>
        <row r="178">
          <cell r="A178">
            <v>1343500935</v>
          </cell>
          <cell r="B178" t="str">
            <v>מועדוניות משותפות</v>
          </cell>
          <cell r="C178">
            <v>66200</v>
          </cell>
          <cell r="D178">
            <v>100362</v>
          </cell>
          <cell r="E178">
            <v>48326</v>
          </cell>
        </row>
        <row r="179">
          <cell r="A179">
            <v>1343500937</v>
          </cell>
          <cell r="B179" t="str">
            <v>יצירת קשר הורים-ילדים</v>
          </cell>
          <cell r="C179">
            <v>8359</v>
          </cell>
          <cell r="D179">
            <v>8359</v>
          </cell>
          <cell r="E179">
            <v>5734</v>
          </cell>
        </row>
        <row r="180">
          <cell r="A180">
            <v>1343500938</v>
          </cell>
          <cell r="B180" t="str">
            <v>טיפול בילדי קהילה-אופק</v>
          </cell>
          <cell r="C180">
            <v>0</v>
          </cell>
          <cell r="E180">
            <v>0</v>
          </cell>
        </row>
        <row r="181">
          <cell r="A181">
            <v>1343500939</v>
          </cell>
          <cell r="B181" t="str">
            <v>טיפול בפגיעת מיניות</v>
          </cell>
          <cell r="C181">
            <v>22500</v>
          </cell>
          <cell r="D181">
            <v>22500</v>
          </cell>
          <cell r="E181">
            <v>18396</v>
          </cell>
        </row>
        <row r="182">
          <cell r="A182">
            <v>1343523410</v>
          </cell>
          <cell r="B182" t="str">
            <v>שרותים תומכים למפגר</v>
          </cell>
          <cell r="C182">
            <v>50000</v>
          </cell>
          <cell r="D182">
            <v>50000</v>
          </cell>
          <cell r="E182">
            <v>59248</v>
          </cell>
        </row>
        <row r="183">
          <cell r="A183">
            <v>1343800410</v>
          </cell>
          <cell r="B183" t="str">
            <v>תחנה לטיפול משפחתי</v>
          </cell>
          <cell r="C183">
            <v>0</v>
          </cell>
          <cell r="E183">
            <v>0</v>
          </cell>
        </row>
        <row r="184">
          <cell r="A184">
            <v>1343800420</v>
          </cell>
          <cell r="B184" t="str">
            <v>השתת' הורים אחזקה</v>
          </cell>
          <cell r="C184">
            <v>150000</v>
          </cell>
          <cell r="D184">
            <v>150000</v>
          </cell>
          <cell r="E184">
            <v>35408.5</v>
          </cell>
        </row>
        <row r="185">
          <cell r="A185">
            <v>1343800421</v>
          </cell>
          <cell r="B185" t="str">
            <v>פקוח וטפול אומנה</v>
          </cell>
          <cell r="C185">
            <v>0</v>
          </cell>
          <cell r="E185">
            <v>0</v>
          </cell>
        </row>
        <row r="186">
          <cell r="A186">
            <v>1343800930</v>
          </cell>
          <cell r="B186" t="str">
            <v>אחזקת ילדים בפנימיות</v>
          </cell>
          <cell r="C186">
            <v>2962500</v>
          </cell>
          <cell r="D186">
            <v>2570310</v>
          </cell>
          <cell r="E186">
            <v>2284051</v>
          </cell>
        </row>
        <row r="187">
          <cell r="A187">
            <v>1343800935</v>
          </cell>
          <cell r="B187" t="str">
            <v>תכנית עם הפנים לקהילה</v>
          </cell>
          <cell r="C187">
            <v>278910</v>
          </cell>
          <cell r="D187">
            <v>356251</v>
          </cell>
          <cell r="E187">
            <v>162608</v>
          </cell>
        </row>
        <row r="188">
          <cell r="A188">
            <v>1343900930</v>
          </cell>
          <cell r="B188" t="str">
            <v>ילדים במעונות יום</v>
          </cell>
          <cell r="C188">
            <v>1875000</v>
          </cell>
          <cell r="D188">
            <v>1678373</v>
          </cell>
          <cell r="E188">
            <v>1377280</v>
          </cell>
        </row>
        <row r="189">
          <cell r="A189">
            <v>1344300420</v>
          </cell>
          <cell r="B189" t="str">
            <v>אחזקת זקנים במעונות</v>
          </cell>
          <cell r="C189">
            <v>650000</v>
          </cell>
          <cell r="D189">
            <v>650000</v>
          </cell>
          <cell r="E189">
            <v>459039.1</v>
          </cell>
        </row>
        <row r="190">
          <cell r="A190">
            <v>1344300421</v>
          </cell>
          <cell r="B190" t="str">
            <v>עזרה ביתית</v>
          </cell>
          <cell r="C190">
            <v>10000</v>
          </cell>
          <cell r="D190">
            <v>10000</v>
          </cell>
          <cell r="E190">
            <v>7442</v>
          </cell>
        </row>
        <row r="191">
          <cell r="A191">
            <v>1344300930</v>
          </cell>
          <cell r="B191" t="str">
            <v>אחזקת זקנים במעונות</v>
          </cell>
          <cell r="C191">
            <v>3384000</v>
          </cell>
          <cell r="D191">
            <v>3175480</v>
          </cell>
          <cell r="E191">
            <v>2515859</v>
          </cell>
        </row>
        <row r="192">
          <cell r="A192">
            <v>1344324410</v>
          </cell>
          <cell r="B192" t="str">
            <v>צרכים רפואיים</v>
          </cell>
          <cell r="C192">
            <v>0</v>
          </cell>
          <cell r="E192">
            <v>0</v>
          </cell>
        </row>
        <row r="193">
          <cell r="A193">
            <v>1344400931</v>
          </cell>
          <cell r="B193" t="str">
            <v>שירותים לניצולי שואה</v>
          </cell>
          <cell r="C193">
            <v>110000</v>
          </cell>
          <cell r="E193">
            <v>0</v>
          </cell>
        </row>
        <row r="194">
          <cell r="A194">
            <v>1344400932</v>
          </cell>
          <cell r="B194" t="str">
            <v>טיפול בזקן בקהילה</v>
          </cell>
          <cell r="C194">
            <v>79000</v>
          </cell>
          <cell r="D194">
            <v>79000</v>
          </cell>
          <cell r="E194">
            <v>57889</v>
          </cell>
        </row>
        <row r="195">
          <cell r="A195">
            <v>1344400933</v>
          </cell>
          <cell r="B195" t="str">
            <v>טיפ.שיניים ומכ.לקשיש</v>
          </cell>
          <cell r="C195">
            <v>0</v>
          </cell>
          <cell r="E195">
            <v>-9313</v>
          </cell>
        </row>
        <row r="196">
          <cell r="A196">
            <v>1344400934</v>
          </cell>
          <cell r="B196" t="str">
            <v>מרכזי ועדות -חוק סיעוד</v>
          </cell>
          <cell r="C196">
            <v>210000</v>
          </cell>
          <cell r="D196">
            <v>210000</v>
          </cell>
          <cell r="E196">
            <v>151106</v>
          </cell>
        </row>
        <row r="197">
          <cell r="A197">
            <v>1344400935</v>
          </cell>
          <cell r="B197" t="str">
            <v>מועדונים לזקנים</v>
          </cell>
          <cell r="C197">
            <v>24000</v>
          </cell>
          <cell r="D197">
            <v>24000</v>
          </cell>
          <cell r="E197">
            <v>10950</v>
          </cell>
        </row>
        <row r="198">
          <cell r="A198">
            <v>1344400939</v>
          </cell>
          <cell r="B198" t="str">
            <v>שכונה תומכת</v>
          </cell>
          <cell r="C198">
            <v>113250</v>
          </cell>
          <cell r="D198">
            <v>113250</v>
          </cell>
          <cell r="E198">
            <v>68306</v>
          </cell>
        </row>
        <row r="199">
          <cell r="A199">
            <v>1344400950</v>
          </cell>
          <cell r="B199" t="str">
            <v>צרכים לזקן-קו עימות</v>
          </cell>
          <cell r="C199">
            <v>0</v>
          </cell>
          <cell r="E199">
            <v>0</v>
          </cell>
        </row>
        <row r="200">
          <cell r="A200">
            <v>1344500420</v>
          </cell>
          <cell r="B200" t="str">
            <v>מסגרת יומיות לזקן</v>
          </cell>
          <cell r="C200">
            <v>85000</v>
          </cell>
          <cell r="D200">
            <v>85000</v>
          </cell>
          <cell r="E200">
            <v>68135</v>
          </cell>
        </row>
        <row r="201">
          <cell r="A201">
            <v>1344500930</v>
          </cell>
          <cell r="B201" t="str">
            <v>מסגרות יומיות לזקן</v>
          </cell>
          <cell r="C201">
            <v>425200</v>
          </cell>
          <cell r="D201">
            <v>425200</v>
          </cell>
          <cell r="E201">
            <v>235571</v>
          </cell>
        </row>
        <row r="202">
          <cell r="A202">
            <v>1344500933</v>
          </cell>
          <cell r="B202" t="str">
            <v>מועדונים מועשרים</v>
          </cell>
          <cell r="C202">
            <v>100000</v>
          </cell>
          <cell r="D202">
            <v>100000</v>
          </cell>
          <cell r="E202">
            <v>10391</v>
          </cell>
        </row>
        <row r="203">
          <cell r="A203">
            <v>1345100420</v>
          </cell>
          <cell r="B203" t="str">
            <v>נופשונים וקייטנות</v>
          </cell>
          <cell r="C203">
            <v>0</v>
          </cell>
          <cell r="E203">
            <v>540</v>
          </cell>
        </row>
        <row r="204">
          <cell r="A204">
            <v>1345100930</v>
          </cell>
          <cell r="B204" t="str">
            <v>סדור מפגרים במוסדות</v>
          </cell>
          <cell r="C204">
            <v>6750000</v>
          </cell>
          <cell r="D204">
            <v>6184373</v>
          </cell>
          <cell r="E204">
            <v>5115569</v>
          </cell>
        </row>
        <row r="205">
          <cell r="A205">
            <v>1345100931</v>
          </cell>
          <cell r="B205" t="str">
            <v>מפגרים במוסד ממשלתי</v>
          </cell>
          <cell r="C205">
            <v>2250000</v>
          </cell>
          <cell r="D205">
            <v>2343000</v>
          </cell>
          <cell r="E205">
            <v>1977576</v>
          </cell>
        </row>
        <row r="206">
          <cell r="A206">
            <v>1345100932</v>
          </cell>
          <cell r="B206" t="str">
            <v>אחזקת אוטיסטים במסגר</v>
          </cell>
          <cell r="C206">
            <v>358800</v>
          </cell>
          <cell r="D206">
            <v>358800</v>
          </cell>
          <cell r="E206">
            <v>499025</v>
          </cell>
        </row>
        <row r="207">
          <cell r="A207">
            <v>1345100933</v>
          </cell>
          <cell r="B207" t="str">
            <v>טיפול בהורים ובילדיה</v>
          </cell>
          <cell r="C207">
            <v>28080</v>
          </cell>
          <cell r="D207">
            <v>28080</v>
          </cell>
          <cell r="E207">
            <v>35571</v>
          </cell>
        </row>
        <row r="208">
          <cell r="A208">
            <v>1345100934</v>
          </cell>
          <cell r="B208" t="str">
            <v>נופשונים וקייטנות</v>
          </cell>
          <cell r="C208">
            <v>0</v>
          </cell>
          <cell r="E208">
            <v>870</v>
          </cell>
        </row>
        <row r="209">
          <cell r="A209">
            <v>1345100935</v>
          </cell>
          <cell r="B209" t="str">
            <v>משפחות אומנה למפגר</v>
          </cell>
          <cell r="C209">
            <v>26100</v>
          </cell>
          <cell r="D209">
            <v>26100</v>
          </cell>
          <cell r="E209">
            <v>10220</v>
          </cell>
        </row>
        <row r="210">
          <cell r="A210">
            <v>1345100936</v>
          </cell>
          <cell r="B210" t="str">
            <v>מ.יום שיקומי לאוטיסט</v>
          </cell>
          <cell r="C210">
            <v>57768</v>
          </cell>
          <cell r="D210">
            <v>57768</v>
          </cell>
          <cell r="E210">
            <v>76161</v>
          </cell>
        </row>
        <row r="211">
          <cell r="A211">
            <v>1345100937</v>
          </cell>
          <cell r="B211" t="str">
            <v>תמיכה באוטיסטים-צפון</v>
          </cell>
          <cell r="C211">
            <v>0</v>
          </cell>
          <cell r="E211">
            <v>0</v>
          </cell>
        </row>
        <row r="212">
          <cell r="A212">
            <v>1345200930</v>
          </cell>
          <cell r="B212" t="str">
            <v>מפגרים במעון אמוני</v>
          </cell>
          <cell r="C212">
            <v>24338</v>
          </cell>
          <cell r="D212">
            <v>24338</v>
          </cell>
          <cell r="E212">
            <v>6627</v>
          </cell>
        </row>
        <row r="213">
          <cell r="A213">
            <v>1345200931</v>
          </cell>
          <cell r="B213" t="str">
            <v>מפגרים במעון טיפולי</v>
          </cell>
          <cell r="C213">
            <v>324000</v>
          </cell>
          <cell r="D213">
            <v>324000</v>
          </cell>
          <cell r="E213">
            <v>317237</v>
          </cell>
        </row>
        <row r="214">
          <cell r="A214">
            <v>1345200932</v>
          </cell>
          <cell r="B214" t="str">
            <v>מעשיים</v>
          </cell>
          <cell r="C214">
            <v>443800</v>
          </cell>
          <cell r="D214">
            <v>443800</v>
          </cell>
          <cell r="E214">
            <v>306028</v>
          </cell>
        </row>
        <row r="215">
          <cell r="A215">
            <v>1345200935</v>
          </cell>
          <cell r="B215" t="str">
            <v>מ.יום שיקומי למפגר</v>
          </cell>
          <cell r="C215">
            <v>57768</v>
          </cell>
          <cell r="D215">
            <v>57768</v>
          </cell>
          <cell r="E215">
            <v>0</v>
          </cell>
        </row>
        <row r="216">
          <cell r="A216">
            <v>1345300420</v>
          </cell>
          <cell r="B216" t="str">
            <v>השתת' הורים-ארוחות</v>
          </cell>
          <cell r="C216">
            <v>0</v>
          </cell>
          <cell r="E216">
            <v>0</v>
          </cell>
        </row>
        <row r="217">
          <cell r="A217">
            <v>1345300930</v>
          </cell>
          <cell r="B217" t="str">
            <v>שרותים תומכים למפגר</v>
          </cell>
          <cell r="C217">
            <v>106250</v>
          </cell>
          <cell r="D217">
            <v>106250</v>
          </cell>
          <cell r="E217">
            <v>11399</v>
          </cell>
        </row>
        <row r="218">
          <cell r="A218">
            <v>1345300931</v>
          </cell>
          <cell r="B218" t="str">
            <v>נופשונים למפגר</v>
          </cell>
          <cell r="C218">
            <v>46850</v>
          </cell>
          <cell r="D218">
            <v>46850</v>
          </cell>
          <cell r="E218">
            <v>14709</v>
          </cell>
        </row>
        <row r="219">
          <cell r="A219">
            <v>1345300933</v>
          </cell>
          <cell r="B219" t="str">
            <v>מועדונים חברת.למפגר</v>
          </cell>
          <cell r="C219">
            <v>18450</v>
          </cell>
          <cell r="D219">
            <v>18450</v>
          </cell>
          <cell r="E219">
            <v>6205</v>
          </cell>
        </row>
        <row r="220">
          <cell r="A220">
            <v>1345300934</v>
          </cell>
          <cell r="B220" t="str">
            <v>נופשונים למפגר-צפון</v>
          </cell>
          <cell r="C220">
            <v>0</v>
          </cell>
          <cell r="E220">
            <v>0</v>
          </cell>
        </row>
        <row r="221">
          <cell r="A221">
            <v>1345300935</v>
          </cell>
          <cell r="B221" t="str">
            <v>הסעות למ.יום למפגר</v>
          </cell>
          <cell r="C221">
            <v>165750</v>
          </cell>
          <cell r="D221">
            <v>165750</v>
          </cell>
          <cell r="E221">
            <v>94577</v>
          </cell>
        </row>
        <row r="222">
          <cell r="A222">
            <v>1345523410</v>
          </cell>
          <cell r="B222" t="str">
            <v>שרותים תומכים למפגר</v>
          </cell>
          <cell r="C222">
            <v>30000</v>
          </cell>
          <cell r="D222">
            <v>30000</v>
          </cell>
          <cell r="E222">
            <v>21469</v>
          </cell>
        </row>
        <row r="223">
          <cell r="A223">
            <v>1346100930</v>
          </cell>
          <cell r="B223" t="str">
            <v>ילדים עוורים במוסדות</v>
          </cell>
          <cell r="C223">
            <v>87847</v>
          </cell>
          <cell r="D223">
            <v>87847</v>
          </cell>
          <cell r="E223">
            <v>62350</v>
          </cell>
        </row>
        <row r="224">
          <cell r="A224">
            <v>1346300930</v>
          </cell>
          <cell r="B224" t="str">
            <v>דמי לווי לעוור</v>
          </cell>
          <cell r="C224">
            <v>0</v>
          </cell>
          <cell r="E224">
            <v>0</v>
          </cell>
        </row>
        <row r="225">
          <cell r="A225">
            <v>1346300931</v>
          </cell>
          <cell r="B225" t="str">
            <v>הדרכת עוור ובני ביתו</v>
          </cell>
          <cell r="C225">
            <v>37500</v>
          </cell>
          <cell r="D225">
            <v>37500</v>
          </cell>
          <cell r="E225">
            <v>20880</v>
          </cell>
        </row>
        <row r="226">
          <cell r="A226">
            <v>1346300933</v>
          </cell>
          <cell r="B226" t="str">
            <v>שיקום העוור בקהילה</v>
          </cell>
          <cell r="C226">
            <v>7500</v>
          </cell>
          <cell r="D226">
            <v>7500</v>
          </cell>
          <cell r="E226">
            <v>4380</v>
          </cell>
        </row>
        <row r="227">
          <cell r="A227">
            <v>1346400930</v>
          </cell>
          <cell r="B227" t="str">
            <v>מפעלי תעסוקה ומועדון</v>
          </cell>
          <cell r="C227">
            <v>0</v>
          </cell>
          <cell r="E227">
            <v>0</v>
          </cell>
        </row>
        <row r="228">
          <cell r="A228">
            <v>1346400931</v>
          </cell>
          <cell r="B228" t="str">
            <v>מפעלי שיקום לעוור</v>
          </cell>
          <cell r="C228">
            <v>144000</v>
          </cell>
          <cell r="D228">
            <v>3750</v>
          </cell>
          <cell r="E228">
            <v>25842</v>
          </cell>
        </row>
        <row r="229">
          <cell r="A229">
            <v>1346500930</v>
          </cell>
          <cell r="B229" t="str">
            <v>אחזקת נכים בפנימיות</v>
          </cell>
          <cell r="C229">
            <v>1650000</v>
          </cell>
          <cell r="D229">
            <v>1725000</v>
          </cell>
          <cell r="E229">
            <v>1236466</v>
          </cell>
        </row>
        <row r="230">
          <cell r="A230">
            <v>1346500931</v>
          </cell>
          <cell r="B230" t="str">
            <v>נכים בפנימיות-צפון</v>
          </cell>
          <cell r="C230">
            <v>0</v>
          </cell>
          <cell r="E230">
            <v>0</v>
          </cell>
        </row>
        <row r="231">
          <cell r="A231">
            <v>1346600930</v>
          </cell>
          <cell r="B231" t="str">
            <v>מס.יום לילד המוגבל</v>
          </cell>
          <cell r="C231">
            <v>64800</v>
          </cell>
          <cell r="D231">
            <v>34500</v>
          </cell>
          <cell r="E231">
            <v>35040</v>
          </cell>
        </row>
        <row r="232">
          <cell r="A232">
            <v>1346600931</v>
          </cell>
          <cell r="B232" t="str">
            <v>תעסוקה מוגנת למוגבל</v>
          </cell>
          <cell r="C232">
            <v>80325</v>
          </cell>
          <cell r="D232">
            <v>40395</v>
          </cell>
          <cell r="E232">
            <v>40515</v>
          </cell>
        </row>
        <row r="233">
          <cell r="A233">
            <v>1346700420</v>
          </cell>
          <cell r="B233" t="str">
            <v>מ.יום שיקומי לנכים</v>
          </cell>
          <cell r="C233">
            <v>40000</v>
          </cell>
          <cell r="D233">
            <v>40000</v>
          </cell>
          <cell r="E233">
            <v>29846</v>
          </cell>
        </row>
        <row r="234">
          <cell r="A234">
            <v>1346700930</v>
          </cell>
          <cell r="B234" t="str">
            <v>תוכניות ילדים_החריגים</v>
          </cell>
          <cell r="C234">
            <v>24000</v>
          </cell>
          <cell r="D234">
            <v>24000</v>
          </cell>
          <cell r="E234">
            <v>0</v>
          </cell>
        </row>
        <row r="235">
          <cell r="A235">
            <v>1346700931</v>
          </cell>
          <cell r="B235" t="str">
            <v>תכנית מעבר</v>
          </cell>
          <cell r="C235">
            <v>0</v>
          </cell>
          <cell r="E235">
            <v>2182</v>
          </cell>
        </row>
        <row r="236">
          <cell r="A236">
            <v>1346700932</v>
          </cell>
          <cell r="B236" t="str">
            <v>הסעות נכים</v>
          </cell>
          <cell r="C236">
            <v>0</v>
          </cell>
          <cell r="E236">
            <v>0</v>
          </cell>
        </row>
        <row r="237">
          <cell r="A237">
            <v>1346700933</v>
          </cell>
          <cell r="B237" t="str">
            <v>מ.יום שיקומי לנכים</v>
          </cell>
          <cell r="C237">
            <v>341077</v>
          </cell>
          <cell r="D237">
            <v>341077</v>
          </cell>
          <cell r="E237">
            <v>111641</v>
          </cell>
        </row>
        <row r="238">
          <cell r="A238">
            <v>1346700934</v>
          </cell>
          <cell r="B238" t="str">
            <v>הסעות למ.יום שיקומי</v>
          </cell>
          <cell r="C238">
            <v>356250</v>
          </cell>
          <cell r="D238">
            <v>356250</v>
          </cell>
          <cell r="E238">
            <v>107827</v>
          </cell>
        </row>
        <row r="239">
          <cell r="A239">
            <v>1346700935</v>
          </cell>
          <cell r="B239" t="str">
            <v>ליווי למ.יום שיקומי</v>
          </cell>
          <cell r="C239">
            <v>116250</v>
          </cell>
          <cell r="D239">
            <v>116250</v>
          </cell>
          <cell r="E239">
            <v>48287</v>
          </cell>
        </row>
        <row r="240">
          <cell r="A240">
            <v>1346700936</v>
          </cell>
          <cell r="B240" t="str">
            <v>נופשונים להבראה</v>
          </cell>
          <cell r="C240">
            <v>2982</v>
          </cell>
          <cell r="D240">
            <v>2982</v>
          </cell>
          <cell r="E240">
            <v>0</v>
          </cell>
        </row>
        <row r="241">
          <cell r="A241">
            <v>1346700937</v>
          </cell>
          <cell r="B241" t="str">
            <v>תכנית מעבר לחרשים</v>
          </cell>
          <cell r="C241">
            <v>9000</v>
          </cell>
          <cell r="D241">
            <v>9000</v>
          </cell>
          <cell r="E241">
            <v>515</v>
          </cell>
        </row>
        <row r="242">
          <cell r="A242">
            <v>1346700938</v>
          </cell>
          <cell r="B242" t="str">
            <v>תעסוקה נתמכת לנכים</v>
          </cell>
          <cell r="C242">
            <v>9000</v>
          </cell>
          <cell r="D242">
            <v>9000</v>
          </cell>
          <cell r="E242">
            <v>2421</v>
          </cell>
        </row>
        <row r="243">
          <cell r="A243">
            <v>1346800932</v>
          </cell>
          <cell r="B243" t="str">
            <v>שיקום נכים בקהילה</v>
          </cell>
          <cell r="C243">
            <v>37500</v>
          </cell>
          <cell r="D243">
            <v>37500</v>
          </cell>
          <cell r="E243">
            <v>3571</v>
          </cell>
        </row>
        <row r="244">
          <cell r="A244">
            <v>1346800933</v>
          </cell>
          <cell r="B244" t="str">
            <v>מרכזי איבחון ושיקום</v>
          </cell>
          <cell r="C244">
            <v>394950</v>
          </cell>
          <cell r="D244">
            <v>394950</v>
          </cell>
          <cell r="E244">
            <v>193705</v>
          </cell>
        </row>
        <row r="245">
          <cell r="A245">
            <v>1346800934</v>
          </cell>
          <cell r="B245" t="str">
            <v>נכים קשים בקהילה</v>
          </cell>
          <cell r="C245">
            <v>37500</v>
          </cell>
          <cell r="D245">
            <v>37500</v>
          </cell>
          <cell r="E245">
            <v>11684</v>
          </cell>
        </row>
        <row r="246">
          <cell r="A246">
            <v>1346800935</v>
          </cell>
          <cell r="B246" t="str">
            <v>מועדונים לעיוור</v>
          </cell>
          <cell r="C246">
            <v>113400</v>
          </cell>
          <cell r="D246">
            <v>110250</v>
          </cell>
          <cell r="E246">
            <v>52560</v>
          </cell>
        </row>
        <row r="247">
          <cell r="A247">
            <v>1346800936</v>
          </cell>
          <cell r="B247" t="str">
            <v>קהילה תומכת לנכים</v>
          </cell>
          <cell r="C247">
            <v>243000</v>
          </cell>
          <cell r="D247">
            <v>150000</v>
          </cell>
          <cell r="E247">
            <v>91250</v>
          </cell>
        </row>
        <row r="248">
          <cell r="A248">
            <v>1346800939</v>
          </cell>
          <cell r="B248" t="str">
            <v>דמי תקשורת לחירשים</v>
          </cell>
          <cell r="C248">
            <v>90000</v>
          </cell>
          <cell r="E248">
            <v>0</v>
          </cell>
        </row>
        <row r="249">
          <cell r="A249">
            <v>1347000930</v>
          </cell>
          <cell r="B249" t="str">
            <v>אחזקת נכים בפנימיות</v>
          </cell>
          <cell r="C249">
            <v>0</v>
          </cell>
          <cell r="E249">
            <v>0</v>
          </cell>
        </row>
        <row r="250">
          <cell r="A250">
            <v>1347100930</v>
          </cell>
          <cell r="B250" t="str">
            <v>נוער חרדי מנותק</v>
          </cell>
          <cell r="C250">
            <v>0</v>
          </cell>
          <cell r="E250">
            <v>0</v>
          </cell>
        </row>
        <row r="251">
          <cell r="A251">
            <v>1347100931</v>
          </cell>
          <cell r="B251" t="str">
            <v>טפול בנוער ובצעירים</v>
          </cell>
          <cell r="C251">
            <v>99650</v>
          </cell>
          <cell r="D251">
            <v>99650</v>
          </cell>
          <cell r="E251">
            <v>134744</v>
          </cell>
        </row>
        <row r="252">
          <cell r="A252">
            <v>1347100932</v>
          </cell>
          <cell r="B252" t="str">
            <v>ת.לאומית נוער וצעיר</v>
          </cell>
          <cell r="C252">
            <v>0</v>
          </cell>
          <cell r="E252">
            <v>93124</v>
          </cell>
        </row>
        <row r="253">
          <cell r="A253">
            <v>1347100933</v>
          </cell>
          <cell r="B253" t="str">
            <v>טפול בנערות במצוקה</v>
          </cell>
          <cell r="C253">
            <v>22500</v>
          </cell>
          <cell r="D253">
            <v>22500</v>
          </cell>
          <cell r="E253">
            <v>0</v>
          </cell>
        </row>
        <row r="254">
          <cell r="A254">
            <v>1347100934</v>
          </cell>
          <cell r="B254" t="str">
            <v>בתים חמים לנערות</v>
          </cell>
          <cell r="C254">
            <v>106250</v>
          </cell>
          <cell r="D254">
            <v>106250</v>
          </cell>
          <cell r="E254">
            <v>95630</v>
          </cell>
        </row>
        <row r="255">
          <cell r="A255">
            <v>1347100938</v>
          </cell>
          <cell r="B255" t="str">
            <v>שהות במקלט לנערות</v>
          </cell>
          <cell r="C255">
            <v>0</v>
          </cell>
          <cell r="E255">
            <v>0</v>
          </cell>
        </row>
        <row r="256">
          <cell r="A256">
            <v>1347110930</v>
          </cell>
          <cell r="B256" t="str">
            <v>תוכנית לאומית נוער וצעירים</v>
          </cell>
          <cell r="C256">
            <v>80000</v>
          </cell>
          <cell r="D256">
            <v>80000</v>
          </cell>
          <cell r="E256">
            <v>0</v>
          </cell>
        </row>
        <row r="257">
          <cell r="A257">
            <v>1347140931</v>
          </cell>
          <cell r="B257" t="str">
            <v>בית נועם</v>
          </cell>
          <cell r="C257">
            <v>0</v>
          </cell>
          <cell r="E257">
            <v>0</v>
          </cell>
        </row>
        <row r="258">
          <cell r="A258">
            <v>1347140932</v>
          </cell>
          <cell r="B258" t="str">
            <v>מקלטים לנערות</v>
          </cell>
          <cell r="C258">
            <v>30225</v>
          </cell>
          <cell r="D258">
            <v>30225</v>
          </cell>
          <cell r="E258">
            <v>12083</v>
          </cell>
        </row>
        <row r="259">
          <cell r="A259">
            <v>1347200930</v>
          </cell>
          <cell r="B259" t="str">
            <v>מעונות חסות</v>
          </cell>
          <cell r="C259">
            <v>0</v>
          </cell>
          <cell r="E259">
            <v>0</v>
          </cell>
        </row>
        <row r="260">
          <cell r="A260">
            <v>1347300790</v>
          </cell>
          <cell r="B260" t="str">
            <v>תרומה פרוייקט הלוחמה בסמים</v>
          </cell>
          <cell r="C260">
            <v>0</v>
          </cell>
          <cell r="D260">
            <v>15869</v>
          </cell>
          <cell r="E260">
            <v>15869.71</v>
          </cell>
        </row>
        <row r="261">
          <cell r="A261">
            <v>1347300930</v>
          </cell>
          <cell r="B261" t="str">
            <v>בדיקות למשתמשים בסמים</v>
          </cell>
          <cell r="C261">
            <v>6000</v>
          </cell>
          <cell r="D261">
            <v>6000</v>
          </cell>
          <cell r="E261">
            <v>3000</v>
          </cell>
        </row>
        <row r="262">
          <cell r="A262">
            <v>1347300932</v>
          </cell>
          <cell r="B262" t="str">
            <v>סמים-טיפול בקהילה</v>
          </cell>
          <cell r="C262">
            <v>14531</v>
          </cell>
          <cell r="D262">
            <v>14531</v>
          </cell>
          <cell r="E262">
            <v>15002</v>
          </cell>
        </row>
        <row r="263">
          <cell r="A263">
            <v>1347300933</v>
          </cell>
          <cell r="B263" t="str">
            <v>סמים-טיפול בקהילה-אופק</v>
          </cell>
          <cell r="C263">
            <v>0</v>
          </cell>
          <cell r="E263">
            <v>0</v>
          </cell>
        </row>
        <row r="264">
          <cell r="A264">
            <v>1347300934</v>
          </cell>
          <cell r="B264" t="str">
            <v>טפול באלכוהוליסטים</v>
          </cell>
          <cell r="C264">
            <v>73250</v>
          </cell>
          <cell r="D264">
            <v>73250</v>
          </cell>
          <cell r="E264">
            <v>11480</v>
          </cell>
        </row>
        <row r="265">
          <cell r="A265">
            <v>1347300935</v>
          </cell>
          <cell r="B265" t="str">
            <v>מ. יום לנוער-סמים</v>
          </cell>
          <cell r="C265">
            <v>7500</v>
          </cell>
          <cell r="D265">
            <v>7500</v>
          </cell>
          <cell r="E265">
            <v>0</v>
          </cell>
        </row>
        <row r="266">
          <cell r="A266">
            <v>1347400930</v>
          </cell>
          <cell r="B266" t="str">
            <v>מפת'ן</v>
          </cell>
          <cell r="C266">
            <v>0</v>
          </cell>
          <cell r="E266">
            <v>70445</v>
          </cell>
        </row>
        <row r="267">
          <cell r="A267">
            <v>1347400931</v>
          </cell>
          <cell r="B267" t="str">
            <v>מפת"ן מקומי אחזקה</v>
          </cell>
          <cell r="C267">
            <v>173880</v>
          </cell>
          <cell r="D267">
            <v>173880</v>
          </cell>
          <cell r="E267">
            <v>133313</v>
          </cell>
        </row>
        <row r="268">
          <cell r="A268">
            <v>1347400933</v>
          </cell>
          <cell r="B268" t="str">
            <v>פעול.משלימות למפתן.</v>
          </cell>
          <cell r="C268">
            <v>22500</v>
          </cell>
          <cell r="D268">
            <v>22500</v>
          </cell>
          <cell r="E268">
            <v>16425</v>
          </cell>
        </row>
        <row r="269">
          <cell r="A269">
            <v>1347400934</v>
          </cell>
          <cell r="B269" t="str">
            <v>טיפול בנפגעי סמים-פרויקט</v>
          </cell>
          <cell r="C269">
            <v>18000</v>
          </cell>
          <cell r="D269">
            <v>18000</v>
          </cell>
          <cell r="E269">
            <v>0</v>
          </cell>
        </row>
        <row r="270">
          <cell r="A270">
            <v>1347400935</v>
          </cell>
          <cell r="B270" t="str">
            <v>ת.מניעת אלימות במפתן</v>
          </cell>
          <cell r="C270">
            <v>28500</v>
          </cell>
          <cell r="D270">
            <v>28500</v>
          </cell>
          <cell r="E270">
            <v>20805</v>
          </cell>
        </row>
        <row r="271">
          <cell r="A271">
            <v>1348200410</v>
          </cell>
          <cell r="B271" t="str">
            <v>יעדים לצפון פרויקט מ.נ</v>
          </cell>
          <cell r="C271">
            <v>0</v>
          </cell>
          <cell r="E271">
            <v>0</v>
          </cell>
        </row>
        <row r="272">
          <cell r="A272">
            <v>1348200790</v>
          </cell>
          <cell r="B272" t="str">
            <v>יעדים לצפון פרויקט מנ"</v>
          </cell>
          <cell r="C272">
            <v>0</v>
          </cell>
          <cell r="E272">
            <v>0</v>
          </cell>
        </row>
        <row r="273">
          <cell r="A273">
            <v>1348200931</v>
          </cell>
          <cell r="B273" t="str">
            <v>עבודה קהילתית</v>
          </cell>
          <cell r="C273">
            <v>110000</v>
          </cell>
          <cell r="D273">
            <v>110000</v>
          </cell>
          <cell r="E273">
            <v>0</v>
          </cell>
        </row>
        <row r="274">
          <cell r="A274">
            <v>1348200932</v>
          </cell>
          <cell r="B274" t="str">
            <v>עבודה קהילת.-פר' אופק</v>
          </cell>
          <cell r="C274">
            <v>0</v>
          </cell>
          <cell r="E274">
            <v>0</v>
          </cell>
        </row>
        <row r="275">
          <cell r="A275">
            <v>1348200933</v>
          </cell>
          <cell r="B275" t="str">
            <v>נפגעי תאונות דרכים</v>
          </cell>
          <cell r="C275">
            <v>0</v>
          </cell>
          <cell r="E275">
            <v>0</v>
          </cell>
        </row>
        <row r="276">
          <cell r="A276">
            <v>1348200934</v>
          </cell>
          <cell r="B276" t="str">
            <v>צח"י-צפון ועוטף עז</v>
          </cell>
          <cell r="C276">
            <v>0</v>
          </cell>
          <cell r="E276">
            <v>0</v>
          </cell>
        </row>
        <row r="277">
          <cell r="A277">
            <v>1348200935</v>
          </cell>
          <cell r="B277" t="str">
            <v>פיתוח גישה קהילתית</v>
          </cell>
          <cell r="C277">
            <v>0</v>
          </cell>
          <cell r="E277">
            <v>0</v>
          </cell>
        </row>
        <row r="278">
          <cell r="A278">
            <v>1348200936</v>
          </cell>
          <cell r="B278" t="str">
            <v>פיתוח קהילתית אסטרטגי</v>
          </cell>
          <cell r="C278">
            <v>0</v>
          </cell>
          <cell r="E278">
            <v>0</v>
          </cell>
        </row>
        <row r="279">
          <cell r="A279">
            <v>1348200937</v>
          </cell>
          <cell r="B279" t="str">
            <v>קהילות פונקציונליות</v>
          </cell>
          <cell r="C279">
            <v>0</v>
          </cell>
          <cell r="E279">
            <v>7920</v>
          </cell>
        </row>
        <row r="280">
          <cell r="A280">
            <v>1348300930</v>
          </cell>
          <cell r="B280" t="str">
            <v>התנדבות-פעולות</v>
          </cell>
          <cell r="C280">
            <v>13000</v>
          </cell>
          <cell r="D280">
            <v>13000</v>
          </cell>
          <cell r="E280">
            <v>0</v>
          </cell>
        </row>
        <row r="281">
          <cell r="A281">
            <v>1348300931</v>
          </cell>
          <cell r="B281" t="str">
            <v>תוכניות פתג''ם</v>
          </cell>
          <cell r="C281">
            <v>0</v>
          </cell>
          <cell r="E281">
            <v>0</v>
          </cell>
        </row>
        <row r="282">
          <cell r="A282">
            <v>1348400930</v>
          </cell>
          <cell r="B282" t="str">
            <v>לשכות יעוץ לאזרח</v>
          </cell>
          <cell r="C282">
            <v>2000</v>
          </cell>
          <cell r="D282">
            <v>2000</v>
          </cell>
          <cell r="E282">
            <v>0</v>
          </cell>
        </row>
        <row r="283">
          <cell r="A283">
            <v>1348500932</v>
          </cell>
          <cell r="B283" t="str">
            <v>שיקום שכונות-פעולות</v>
          </cell>
          <cell r="C283">
            <v>12000</v>
          </cell>
          <cell r="D283">
            <v>12000</v>
          </cell>
          <cell r="E283">
            <v>7500</v>
          </cell>
        </row>
        <row r="284">
          <cell r="A284">
            <v>1348801420</v>
          </cell>
          <cell r="B284" t="str">
            <v>חוסן העמותה לילדים בסיכון</v>
          </cell>
          <cell r="C284">
            <v>142200</v>
          </cell>
          <cell r="D284">
            <v>142200</v>
          </cell>
          <cell r="E284">
            <v>60000</v>
          </cell>
        </row>
        <row r="285">
          <cell r="A285">
            <v>1349000422</v>
          </cell>
          <cell r="B285" t="str">
            <v>פנימיה למפגרים</v>
          </cell>
          <cell r="C285">
            <v>0</v>
          </cell>
          <cell r="E285">
            <v>1600</v>
          </cell>
        </row>
        <row r="286">
          <cell r="A286">
            <v>1349000930</v>
          </cell>
          <cell r="B286" t="str">
            <v>מ.יום טפולי-עולים</v>
          </cell>
          <cell r="C286">
            <v>13260</v>
          </cell>
          <cell r="D286">
            <v>13260</v>
          </cell>
          <cell r="E286">
            <v>22510</v>
          </cell>
        </row>
        <row r="287">
          <cell r="A287">
            <v>1349000931</v>
          </cell>
          <cell r="B287" t="str">
            <v>מעונות יום--עולים</v>
          </cell>
          <cell r="C287">
            <v>46697</v>
          </cell>
          <cell r="D287">
            <v>46697</v>
          </cell>
          <cell r="E287">
            <v>19092</v>
          </cell>
        </row>
        <row r="288">
          <cell r="A288">
            <v>1349000932</v>
          </cell>
          <cell r="B288" t="str">
            <v>מעש"ים-עולים</v>
          </cell>
          <cell r="C288">
            <v>38119</v>
          </cell>
          <cell r="D288">
            <v>38119</v>
          </cell>
          <cell r="E288">
            <v>26269</v>
          </cell>
        </row>
        <row r="289">
          <cell r="A289">
            <v>1349000933</v>
          </cell>
          <cell r="B289" t="str">
            <v>מפגר בפנימיה-עולים</v>
          </cell>
          <cell r="C289">
            <v>101475</v>
          </cell>
          <cell r="D289">
            <v>101475</v>
          </cell>
          <cell r="E289">
            <v>75489</v>
          </cell>
        </row>
        <row r="290">
          <cell r="A290">
            <v>1349000934</v>
          </cell>
          <cell r="B290" t="str">
            <v>ילדים בפנימיות -עולים</v>
          </cell>
          <cell r="C290">
            <v>298425</v>
          </cell>
          <cell r="D290">
            <v>298425</v>
          </cell>
          <cell r="E290">
            <v>193411</v>
          </cell>
        </row>
        <row r="291">
          <cell r="A291">
            <v>1349000935</v>
          </cell>
          <cell r="B291" t="str">
            <v>טיפול בזקנים-עולים</v>
          </cell>
          <cell r="C291">
            <v>36700</v>
          </cell>
          <cell r="D291">
            <v>36700</v>
          </cell>
          <cell r="E291">
            <v>20545</v>
          </cell>
        </row>
        <row r="292">
          <cell r="A292">
            <v>1349000936</v>
          </cell>
          <cell r="B292" t="str">
            <v>תוכ.קבוצ.וקהיל-עולים</v>
          </cell>
          <cell r="C292">
            <v>0</v>
          </cell>
          <cell r="E292">
            <v>0</v>
          </cell>
        </row>
        <row r="293">
          <cell r="A293">
            <v>1349000937</v>
          </cell>
          <cell r="B293" t="str">
            <v>טפול בצעירים-עולים</v>
          </cell>
          <cell r="C293">
            <v>0</v>
          </cell>
          <cell r="E293">
            <v>0</v>
          </cell>
        </row>
        <row r="294">
          <cell r="A294">
            <v>1349000938</v>
          </cell>
          <cell r="B294" t="str">
            <v>עובדי שכונה-עולים</v>
          </cell>
          <cell r="C294">
            <v>30500</v>
          </cell>
          <cell r="D294">
            <v>30500</v>
          </cell>
          <cell r="E294">
            <v>23145</v>
          </cell>
        </row>
        <row r="295">
          <cell r="A295">
            <v>1349000939</v>
          </cell>
          <cell r="B295" t="str">
            <v>נכים בקהילה-עולים</v>
          </cell>
          <cell r="C295">
            <v>0</v>
          </cell>
          <cell r="E295">
            <v>0</v>
          </cell>
        </row>
        <row r="296">
          <cell r="A296">
            <v>1349001930</v>
          </cell>
          <cell r="B296" t="str">
            <v>תקשורת לחירשים</v>
          </cell>
          <cell r="C296">
            <v>0</v>
          </cell>
          <cell r="E296">
            <v>0</v>
          </cell>
        </row>
        <row r="297">
          <cell r="A297">
            <v>1349001931</v>
          </cell>
          <cell r="B297" t="str">
            <v>פיתוח קהיל.בין תרבו</v>
          </cell>
          <cell r="C297">
            <v>0</v>
          </cell>
          <cell r="E297">
            <v>47850</v>
          </cell>
        </row>
        <row r="298">
          <cell r="A298">
            <v>1349001933</v>
          </cell>
          <cell r="B298" t="str">
            <v>אבחון ושקום נכים-עולים</v>
          </cell>
          <cell r="C298">
            <v>0</v>
          </cell>
          <cell r="E298">
            <v>0</v>
          </cell>
        </row>
        <row r="299">
          <cell r="A299">
            <v>1349001934</v>
          </cell>
          <cell r="B299" t="str">
            <v>תוכנית קבוצתית לעולים</v>
          </cell>
          <cell r="C299">
            <v>135000</v>
          </cell>
          <cell r="D299">
            <v>135000</v>
          </cell>
          <cell r="E299">
            <v>0</v>
          </cell>
        </row>
        <row r="300">
          <cell r="A300">
            <v>1349001937</v>
          </cell>
          <cell r="B300" t="str">
            <v>ילדים במצוקה עולים</v>
          </cell>
          <cell r="C300">
            <v>27000</v>
          </cell>
          <cell r="D300">
            <v>27000</v>
          </cell>
          <cell r="E300">
            <v>14797</v>
          </cell>
        </row>
        <row r="301">
          <cell r="A301">
            <v>1349001939</v>
          </cell>
          <cell r="B301" t="str">
            <v>משפחות עולים במצוקה</v>
          </cell>
          <cell r="C301">
            <v>19600</v>
          </cell>
          <cell r="D301">
            <v>19600</v>
          </cell>
          <cell r="E301">
            <v>10731</v>
          </cell>
        </row>
        <row r="302">
          <cell r="A302">
            <v>1349002420</v>
          </cell>
          <cell r="B302" t="str">
            <v>נכים בקהילה עולים</v>
          </cell>
          <cell r="C302">
            <v>0</v>
          </cell>
          <cell r="E302">
            <v>102</v>
          </cell>
        </row>
        <row r="303">
          <cell r="A303">
            <v>1349002930</v>
          </cell>
          <cell r="B303" t="str">
            <v>מפגרים בקהילה-עולים</v>
          </cell>
          <cell r="C303">
            <v>0</v>
          </cell>
          <cell r="E303">
            <v>0</v>
          </cell>
        </row>
        <row r="304">
          <cell r="A304">
            <v>1349002939</v>
          </cell>
          <cell r="B304" t="str">
            <v>טיפול בעיוורים עולים</v>
          </cell>
          <cell r="C304">
            <v>7500</v>
          </cell>
          <cell r="D304">
            <v>7500</v>
          </cell>
          <cell r="E304">
            <v>1926</v>
          </cell>
        </row>
        <row r="305">
          <cell r="A305">
            <v>1349002949</v>
          </cell>
          <cell r="B305" t="str">
            <v>טיפול בעוורים עולים</v>
          </cell>
          <cell r="C305">
            <v>0</v>
          </cell>
          <cell r="E305">
            <v>0</v>
          </cell>
        </row>
        <row r="306">
          <cell r="A306">
            <v>1360000410</v>
          </cell>
          <cell r="B306" t="str">
            <v>קליטה-הכנסות</v>
          </cell>
          <cell r="C306">
            <v>31670</v>
          </cell>
          <cell r="D306">
            <v>31670</v>
          </cell>
          <cell r="E306">
            <v>15380</v>
          </cell>
        </row>
        <row r="307">
          <cell r="A307">
            <v>1392000440</v>
          </cell>
          <cell r="B307" t="str">
            <v>השכרת מתקני ספורט</v>
          </cell>
          <cell r="C307">
            <v>0</v>
          </cell>
          <cell r="E307">
            <v>1000</v>
          </cell>
        </row>
        <row r="308">
          <cell r="A308">
            <v>1413100211</v>
          </cell>
          <cell r="B308" t="str">
            <v>אגרת מים שוטף</v>
          </cell>
          <cell r="C308">
            <v>0</v>
          </cell>
          <cell r="E308">
            <v>0</v>
          </cell>
        </row>
        <row r="309">
          <cell r="A309">
            <v>1413100212</v>
          </cell>
          <cell r="B309" t="str">
            <v>אגרת מים פיגורים</v>
          </cell>
          <cell r="C309">
            <v>450000</v>
          </cell>
          <cell r="D309">
            <v>637000</v>
          </cell>
          <cell r="E309">
            <v>338191.83</v>
          </cell>
        </row>
        <row r="310">
          <cell r="A310">
            <v>1413100213</v>
          </cell>
          <cell r="B310" t="str">
            <v>מים מוסדות עיריה</v>
          </cell>
          <cell r="C310">
            <v>0</v>
          </cell>
          <cell r="E310">
            <v>0</v>
          </cell>
        </row>
        <row r="311">
          <cell r="A311">
            <v>1413100214</v>
          </cell>
          <cell r="B311" t="str">
            <v>יתרת אגרת מים77-</v>
          </cell>
          <cell r="C311">
            <v>0</v>
          </cell>
          <cell r="E311">
            <v>0</v>
          </cell>
        </row>
        <row r="312">
          <cell r="A312">
            <v>1413100215</v>
          </cell>
          <cell r="B312" t="str">
            <v>יתרת זכויות מים76-</v>
          </cell>
          <cell r="C312">
            <v>0</v>
          </cell>
          <cell r="E312">
            <v>0</v>
          </cell>
        </row>
        <row r="313">
          <cell r="A313">
            <v>1413100216</v>
          </cell>
          <cell r="B313" t="str">
            <v>אגרת חידוש חיבור30-</v>
          </cell>
          <cell r="C313">
            <v>0</v>
          </cell>
          <cell r="E313">
            <v>992.83</v>
          </cell>
        </row>
        <row r="314">
          <cell r="A314">
            <v>1413100217</v>
          </cell>
          <cell r="B314" t="str">
            <v>היטל צריכה מים עודפת ס.ש.49</v>
          </cell>
          <cell r="C314">
            <v>0</v>
          </cell>
          <cell r="E314">
            <v>18281.96</v>
          </cell>
        </row>
        <row r="315">
          <cell r="A315">
            <v>1413100220</v>
          </cell>
          <cell r="B315" t="str">
            <v>אגרת חידוש חיבור-סוג ש</v>
          </cell>
          <cell r="C315">
            <v>0</v>
          </cell>
          <cell r="E315">
            <v>0</v>
          </cell>
        </row>
        <row r="316">
          <cell r="A316">
            <v>1413100221</v>
          </cell>
          <cell r="B316" t="str">
            <v>יתרת אגרת מד מים סוג ש</v>
          </cell>
          <cell r="C316">
            <v>8000</v>
          </cell>
          <cell r="D316">
            <v>10000</v>
          </cell>
          <cell r="E316">
            <v>2700.69</v>
          </cell>
        </row>
        <row r="317">
          <cell r="A317">
            <v>1413100920</v>
          </cell>
          <cell r="B317" t="str">
            <v>מענק תיאגוד</v>
          </cell>
          <cell r="C317">
            <v>0</v>
          </cell>
          <cell r="D317">
            <v>1351000</v>
          </cell>
          <cell r="E317">
            <v>0</v>
          </cell>
        </row>
        <row r="318">
          <cell r="A318">
            <v>1413200220</v>
          </cell>
          <cell r="B318" t="str">
            <v>אגרות שרות 16</v>
          </cell>
          <cell r="C318">
            <v>0</v>
          </cell>
          <cell r="E318">
            <v>4477.87</v>
          </cell>
        </row>
        <row r="319">
          <cell r="A319">
            <v>1413300220</v>
          </cell>
          <cell r="B319" t="str">
            <v>השתת' בעלים-הנחת צנורות</v>
          </cell>
          <cell r="C319">
            <v>0</v>
          </cell>
          <cell r="E319">
            <v>0</v>
          </cell>
        </row>
        <row r="320">
          <cell r="A320">
            <v>1433000215</v>
          </cell>
          <cell r="B320" t="str">
            <v>יתרת שכ"ד לא מוגן39-</v>
          </cell>
          <cell r="C320">
            <v>120000</v>
          </cell>
          <cell r="D320">
            <v>120000</v>
          </cell>
          <cell r="E320">
            <v>47960.4</v>
          </cell>
        </row>
        <row r="321">
          <cell r="A321">
            <v>1433000610</v>
          </cell>
          <cell r="B321" t="str">
            <v>השתתפות בשכר דירה עמידר</v>
          </cell>
          <cell r="C321">
            <v>0</v>
          </cell>
          <cell r="E321">
            <v>0</v>
          </cell>
        </row>
        <row r="322">
          <cell r="A322">
            <v>1433000641</v>
          </cell>
          <cell r="B322" t="str">
            <v>שכ"ד לא מוגן</v>
          </cell>
          <cell r="C322">
            <v>550000</v>
          </cell>
          <cell r="D322">
            <v>200000</v>
          </cell>
          <cell r="E322">
            <v>501359.68</v>
          </cell>
        </row>
        <row r="323">
          <cell r="A323">
            <v>1433000642</v>
          </cell>
          <cell r="B323" t="str">
            <v>שכר דירה</v>
          </cell>
          <cell r="C323">
            <v>850000</v>
          </cell>
          <cell r="D323">
            <v>1425000</v>
          </cell>
          <cell r="E323">
            <v>534725.71</v>
          </cell>
        </row>
        <row r="324">
          <cell r="A324">
            <v>1433000643</v>
          </cell>
          <cell r="B324" t="str">
            <v>שכירות בדמי מפתח ס.ש7.</v>
          </cell>
          <cell r="C324">
            <v>125000</v>
          </cell>
          <cell r="D324">
            <v>125000</v>
          </cell>
          <cell r="E324">
            <v>0</v>
          </cell>
        </row>
        <row r="325">
          <cell r="A325">
            <v>1433000644</v>
          </cell>
          <cell r="B325" t="str">
            <v>שכירות גגות לחשמל</v>
          </cell>
          <cell r="C325">
            <v>370000</v>
          </cell>
          <cell r="E325">
            <v>0</v>
          </cell>
        </row>
        <row r="326">
          <cell r="A326">
            <v>1433000645</v>
          </cell>
          <cell r="B326" t="str">
            <v>הכנסות ממוסדות מ.א.לקש</v>
          </cell>
          <cell r="C326">
            <v>0</v>
          </cell>
          <cell r="E326">
            <v>0</v>
          </cell>
        </row>
        <row r="327">
          <cell r="A327">
            <v>1437000215</v>
          </cell>
          <cell r="B327" t="str">
            <v>יתרת שכ"ד מוגן38-</v>
          </cell>
          <cell r="C327">
            <v>650000</v>
          </cell>
          <cell r="D327">
            <v>40000</v>
          </cell>
          <cell r="E327">
            <v>564694.4</v>
          </cell>
        </row>
        <row r="328">
          <cell r="A328">
            <v>1437000640</v>
          </cell>
          <cell r="B328" t="str">
            <v>שכר דירה מוגן</v>
          </cell>
          <cell r="C328">
            <v>100000</v>
          </cell>
          <cell r="D328">
            <v>100000</v>
          </cell>
          <cell r="E328">
            <v>227860</v>
          </cell>
        </row>
        <row r="329">
          <cell r="A329">
            <v>1437000641</v>
          </cell>
          <cell r="B329" t="str">
            <v>שכר דירה שוק</v>
          </cell>
          <cell r="C329">
            <v>0</v>
          </cell>
          <cell r="E329">
            <v>0</v>
          </cell>
        </row>
        <row r="330">
          <cell r="A330">
            <v>1439000663</v>
          </cell>
          <cell r="B330" t="str">
            <v>שכ"ד-ניהול נכסים</v>
          </cell>
          <cell r="C330">
            <v>0</v>
          </cell>
          <cell r="E330">
            <v>0</v>
          </cell>
        </row>
        <row r="331">
          <cell r="A331">
            <v>1439000690</v>
          </cell>
          <cell r="B331" t="str">
            <v>נכסים-מכרזים</v>
          </cell>
          <cell r="C331">
            <v>0</v>
          </cell>
          <cell r="E331">
            <v>0</v>
          </cell>
        </row>
        <row r="332">
          <cell r="A332">
            <v>1443100220</v>
          </cell>
          <cell r="B332" t="str">
            <v>אגרת חניית מכוניות</v>
          </cell>
          <cell r="C332">
            <v>130000</v>
          </cell>
          <cell r="D332">
            <v>25000</v>
          </cell>
          <cell r="E332">
            <v>0</v>
          </cell>
        </row>
        <row r="333">
          <cell r="A333">
            <v>1443100290</v>
          </cell>
          <cell r="B333" t="str">
            <v>קנסות חניה</v>
          </cell>
          <cell r="C333">
            <v>3300000</v>
          </cell>
          <cell r="D333">
            <v>3800000</v>
          </cell>
          <cell r="E333">
            <v>1765094.34</v>
          </cell>
        </row>
        <row r="334">
          <cell r="A334">
            <v>1443100291</v>
          </cell>
          <cell r="B334" t="str">
            <v>הכנסות מב.ק.</v>
          </cell>
          <cell r="C334">
            <v>18000</v>
          </cell>
          <cell r="E334">
            <v>79247.3</v>
          </cell>
        </row>
        <row r="335">
          <cell r="A335">
            <v>1443100292</v>
          </cell>
          <cell r="B335" t="str">
            <v>הכנסות גביה חניה עיקול</v>
          </cell>
          <cell r="C335">
            <v>250000</v>
          </cell>
          <cell r="D335">
            <v>250000</v>
          </cell>
          <cell r="E335">
            <v>221351.07</v>
          </cell>
        </row>
        <row r="336">
          <cell r="A336">
            <v>1443100293</v>
          </cell>
          <cell r="B336" t="str">
            <v>הכנסה ממדחנים</v>
          </cell>
          <cell r="C336">
            <v>800000</v>
          </cell>
          <cell r="D336">
            <v>850000</v>
          </cell>
          <cell r="E336">
            <v>634521.5</v>
          </cell>
        </row>
        <row r="337">
          <cell r="A337">
            <v>1443100295</v>
          </cell>
          <cell r="B337" t="str">
            <v>הכנסה מאיזי פארק</v>
          </cell>
          <cell r="C337">
            <v>160000</v>
          </cell>
          <cell r="D337">
            <v>160000</v>
          </cell>
          <cell r="E337">
            <v>144982.21</v>
          </cell>
        </row>
        <row r="338">
          <cell r="A338">
            <v>1444000490</v>
          </cell>
          <cell r="B338" t="str">
            <v>חניית מוניות</v>
          </cell>
          <cell r="C338">
            <v>40000</v>
          </cell>
          <cell r="D338">
            <v>40000</v>
          </cell>
          <cell r="E338">
            <v>37536</v>
          </cell>
        </row>
        <row r="339">
          <cell r="A339">
            <v>1472000210</v>
          </cell>
          <cell r="B339" t="str">
            <v>אגרת ביוב</v>
          </cell>
          <cell r="C339">
            <v>0</v>
          </cell>
          <cell r="E339">
            <v>0</v>
          </cell>
        </row>
        <row r="340">
          <cell r="A340">
            <v>1472000212</v>
          </cell>
          <cell r="B340" t="str">
            <v>אגרת ביוב-פיגורים</v>
          </cell>
          <cell r="C340">
            <v>270000</v>
          </cell>
          <cell r="D340">
            <v>320000</v>
          </cell>
          <cell r="E340">
            <v>206960.06</v>
          </cell>
        </row>
        <row r="341">
          <cell r="A341">
            <v>1472000213</v>
          </cell>
          <cell r="B341" t="str">
            <v>היטל ביוב</v>
          </cell>
          <cell r="C341">
            <v>400000</v>
          </cell>
          <cell r="D341">
            <v>200000</v>
          </cell>
          <cell r="E341">
            <v>3498330.5</v>
          </cell>
        </row>
        <row r="342">
          <cell r="A342">
            <v>1472000214</v>
          </cell>
          <cell r="B342" t="str">
            <v>ביוב-מוסדות_עיריה</v>
          </cell>
          <cell r="C342">
            <v>0</v>
          </cell>
          <cell r="E342">
            <v>0</v>
          </cell>
        </row>
        <row r="343">
          <cell r="A343">
            <v>1472000215</v>
          </cell>
          <cell r="B343" t="str">
            <v>יתרת היטל ביוב81-</v>
          </cell>
          <cell r="C343">
            <v>12000</v>
          </cell>
          <cell r="D343">
            <v>10000</v>
          </cell>
          <cell r="E343">
            <v>105</v>
          </cell>
        </row>
        <row r="344">
          <cell r="A344">
            <v>1472000990</v>
          </cell>
          <cell r="B344" t="str">
            <v>מענק תאגוד</v>
          </cell>
          <cell r="C344">
            <v>0</v>
          </cell>
          <cell r="E344">
            <v>1351500</v>
          </cell>
        </row>
        <row r="345">
          <cell r="A345">
            <v>1594000590</v>
          </cell>
          <cell r="B345" t="str">
            <v>הכנסות משנים קודמות</v>
          </cell>
          <cell r="C345">
            <v>0</v>
          </cell>
          <cell r="E345">
            <v>669587.81999999995</v>
          </cell>
        </row>
        <row r="346">
          <cell r="A346">
            <v>1594000591</v>
          </cell>
          <cell r="B346" t="str">
            <v>ביטול יתרות ספקים ועובדים</v>
          </cell>
          <cell r="C346">
            <v>0</v>
          </cell>
          <cell r="E346">
            <v>0</v>
          </cell>
        </row>
        <row r="347">
          <cell r="A347">
            <v>1594100590</v>
          </cell>
          <cell r="B347" t="str">
            <v>תקבולים בלתי רגילים</v>
          </cell>
          <cell r="C347">
            <v>0</v>
          </cell>
          <cell r="E347">
            <v>0</v>
          </cell>
        </row>
        <row r="348">
          <cell r="A348">
            <v>1594101590</v>
          </cell>
          <cell r="B348" t="str">
            <v>תקבולים בילתי רגילים</v>
          </cell>
          <cell r="C348">
            <v>0</v>
          </cell>
          <cell r="E348">
            <v>0</v>
          </cell>
        </row>
        <row r="349">
          <cell r="A349">
            <v>1594200590</v>
          </cell>
          <cell r="B349" t="str">
            <v>החזרים בלתי רגילים</v>
          </cell>
          <cell r="C349">
            <v>0</v>
          </cell>
          <cell r="E349">
            <v>0</v>
          </cell>
        </row>
        <row r="350">
          <cell r="A350">
            <v>1599000980</v>
          </cell>
          <cell r="B350" t="str">
            <v>הלוואה לאיזון</v>
          </cell>
          <cell r="C350">
            <v>0</v>
          </cell>
          <cell r="E350">
            <v>0</v>
          </cell>
        </row>
        <row r="351">
          <cell r="A351">
            <v>1599000981</v>
          </cell>
          <cell r="B351" t="str">
            <v>סיוע מיוחד לצפון</v>
          </cell>
          <cell r="C351">
            <v>0</v>
          </cell>
          <cell r="E351">
            <v>0</v>
          </cell>
        </row>
        <row r="352">
          <cell r="A352">
            <v>1599100910</v>
          </cell>
          <cell r="B352" t="str">
            <v>מענק לאיזון</v>
          </cell>
          <cell r="C352">
            <v>0</v>
          </cell>
          <cell r="E352">
            <v>0</v>
          </cell>
        </row>
        <row r="353">
          <cell r="A353">
            <v>1610000399</v>
          </cell>
          <cell r="B353" t="str">
            <v>הפרשה לדמי הבראה ומענק</v>
          </cell>
          <cell r="C353">
            <v>0</v>
          </cell>
          <cell r="E353">
            <v>0</v>
          </cell>
        </row>
        <row r="354">
          <cell r="A354">
            <v>1610000811</v>
          </cell>
          <cell r="B354" t="str">
            <v>עיר ללא אלימות פר4,13-</v>
          </cell>
          <cell r="C354">
            <v>0</v>
          </cell>
          <cell r="E354">
            <v>0</v>
          </cell>
        </row>
        <row r="355">
          <cell r="A355">
            <v>1610000910</v>
          </cell>
          <cell r="B355" t="str">
            <v>עיר ללא אלימות</v>
          </cell>
          <cell r="C355">
            <v>0</v>
          </cell>
          <cell r="E355">
            <v>0</v>
          </cell>
        </row>
        <row r="356">
          <cell r="A356">
            <v>1611000110</v>
          </cell>
          <cell r="B356" t="str">
            <v>לשכה-משכורת ושכר משולב</v>
          </cell>
          <cell r="C356">
            <v>1960748</v>
          </cell>
          <cell r="D356">
            <v>1861065</v>
          </cell>
          <cell r="E356">
            <v>1446687.41</v>
          </cell>
        </row>
        <row r="357">
          <cell r="A357">
            <v>1611000511</v>
          </cell>
          <cell r="B357" t="str">
            <v>לשכה - כיבודים</v>
          </cell>
          <cell r="C357">
            <v>60000</v>
          </cell>
          <cell r="D357">
            <v>50000</v>
          </cell>
          <cell r="E357">
            <v>34005.519999999997</v>
          </cell>
        </row>
        <row r="358">
          <cell r="A358">
            <v>1611000512</v>
          </cell>
          <cell r="B358" t="str">
            <v>לשכה- נסיעות ואש"ל</v>
          </cell>
          <cell r="C358">
            <v>6000</v>
          </cell>
          <cell r="D358">
            <v>5000</v>
          </cell>
          <cell r="E358">
            <v>3256</v>
          </cell>
        </row>
        <row r="359">
          <cell r="A359">
            <v>1611000514</v>
          </cell>
          <cell r="B359" t="str">
            <v>לשכה- רכישת מתנות</v>
          </cell>
          <cell r="C359">
            <v>15000</v>
          </cell>
          <cell r="D359">
            <v>7000</v>
          </cell>
          <cell r="E359">
            <v>2074</v>
          </cell>
        </row>
        <row r="360">
          <cell r="A360">
            <v>1611000521</v>
          </cell>
          <cell r="B360" t="str">
            <v>הנהלה-השתלמויות</v>
          </cell>
          <cell r="C360">
            <v>26000</v>
          </cell>
          <cell r="D360">
            <v>34047.4</v>
          </cell>
          <cell r="E360">
            <v>33903.4</v>
          </cell>
        </row>
        <row r="361">
          <cell r="A361">
            <v>1611000522</v>
          </cell>
          <cell r="B361" t="str">
            <v>לשכה- ספרים ועתונים</v>
          </cell>
          <cell r="C361">
            <v>45000</v>
          </cell>
          <cell r="D361">
            <v>27357.52</v>
          </cell>
          <cell r="E361">
            <v>22667.52</v>
          </cell>
        </row>
        <row r="362">
          <cell r="A362">
            <v>1611000523</v>
          </cell>
          <cell r="B362" t="str">
            <v>דמי חבר בארגונים</v>
          </cell>
          <cell r="C362">
            <v>4000</v>
          </cell>
          <cell r="D362">
            <v>1000</v>
          </cell>
          <cell r="E362">
            <v>1000</v>
          </cell>
        </row>
        <row r="363">
          <cell r="A363">
            <v>1611000530</v>
          </cell>
          <cell r="B363" t="str">
            <v>הוצ.רכב-ליסינג</v>
          </cell>
          <cell r="C363">
            <v>0</v>
          </cell>
          <cell r="E363">
            <v>0</v>
          </cell>
        </row>
        <row r="364">
          <cell r="A364">
            <v>1611000560</v>
          </cell>
          <cell r="B364" t="str">
            <v>לשכה- הוצ' משרדיות</v>
          </cell>
          <cell r="C364">
            <v>17000</v>
          </cell>
          <cell r="D364">
            <v>15000</v>
          </cell>
          <cell r="E364">
            <v>9770.43</v>
          </cell>
        </row>
        <row r="365">
          <cell r="A365">
            <v>1611000580</v>
          </cell>
          <cell r="B365" t="str">
            <v>לשכה-הוצ' אחרות</v>
          </cell>
          <cell r="C365">
            <v>20000</v>
          </cell>
          <cell r="D365">
            <v>17000</v>
          </cell>
          <cell r="E365">
            <v>20057.38</v>
          </cell>
        </row>
        <row r="366">
          <cell r="A366">
            <v>1611000731</v>
          </cell>
          <cell r="B366" t="str">
            <v>הנהלה-דלק ושמנים 21760</v>
          </cell>
          <cell r="C366">
            <v>0</v>
          </cell>
          <cell r="E366">
            <v>0</v>
          </cell>
        </row>
        <row r="367">
          <cell r="A367">
            <v>1611000760</v>
          </cell>
          <cell r="B367" t="str">
            <v>קניית שירותים ממוסדות</v>
          </cell>
          <cell r="C367">
            <v>38000</v>
          </cell>
          <cell r="D367">
            <v>38000</v>
          </cell>
          <cell r="E367">
            <v>25172.959999999999</v>
          </cell>
        </row>
        <row r="368">
          <cell r="A368">
            <v>1611000780</v>
          </cell>
          <cell r="B368" t="str">
            <v>לשכה - הוצ' שונות</v>
          </cell>
          <cell r="C368">
            <v>32000</v>
          </cell>
          <cell r="D368">
            <v>30000</v>
          </cell>
          <cell r="E368">
            <v>22681.9</v>
          </cell>
        </row>
        <row r="369">
          <cell r="A369">
            <v>1611000930</v>
          </cell>
          <cell r="B369" t="str">
            <v>לשכה - רכישת ציוד יסוד</v>
          </cell>
          <cell r="C369">
            <v>22000</v>
          </cell>
          <cell r="D369">
            <v>20000</v>
          </cell>
          <cell r="E369">
            <v>12531</v>
          </cell>
        </row>
        <row r="370">
          <cell r="A370">
            <v>1611000970</v>
          </cell>
          <cell r="B370" t="str">
            <v>הוצאות עודפות</v>
          </cell>
          <cell r="C370">
            <v>96000</v>
          </cell>
          <cell r="D370">
            <v>96000</v>
          </cell>
          <cell r="E370">
            <v>64000</v>
          </cell>
        </row>
        <row r="371">
          <cell r="A371">
            <v>1611000980</v>
          </cell>
          <cell r="B371" t="str">
            <v>לשכה - הוצ' אחרות</v>
          </cell>
          <cell r="C371">
            <v>150000</v>
          </cell>
          <cell r="D371">
            <v>131595.07999999999</v>
          </cell>
          <cell r="E371">
            <v>119619.72</v>
          </cell>
        </row>
        <row r="372">
          <cell r="A372">
            <v>1611001731</v>
          </cell>
          <cell r="B372" t="str">
            <v>שברולט רה"ע 13-904-66</v>
          </cell>
          <cell r="C372">
            <v>116000</v>
          </cell>
          <cell r="D372">
            <v>116000</v>
          </cell>
          <cell r="E372">
            <v>84762.25</v>
          </cell>
        </row>
        <row r="373">
          <cell r="A373">
            <v>1611100110</v>
          </cell>
          <cell r="B373" t="str">
            <v>נבחרים</v>
          </cell>
          <cell r="C373">
            <v>1828078</v>
          </cell>
          <cell r="D373">
            <v>1733934</v>
          </cell>
          <cell r="E373">
            <v>1326160.71</v>
          </cell>
        </row>
        <row r="374">
          <cell r="A374">
            <v>1611100441</v>
          </cell>
          <cell r="B374" t="str">
            <v>ביטוח</v>
          </cell>
          <cell r="C374">
            <v>25000</v>
          </cell>
          <cell r="D374">
            <v>25000</v>
          </cell>
          <cell r="E374">
            <v>21127</v>
          </cell>
        </row>
        <row r="375">
          <cell r="A375">
            <v>1611100530</v>
          </cell>
          <cell r="B375" t="str">
            <v>הוצ.רכב   73-955-72</v>
          </cell>
          <cell r="C375">
            <v>69000</v>
          </cell>
          <cell r="D375">
            <v>79000</v>
          </cell>
          <cell r="E375">
            <v>53417.58</v>
          </cell>
        </row>
        <row r="376">
          <cell r="A376">
            <v>1611100531</v>
          </cell>
          <cell r="B376" t="str">
            <v>הוצ רכב 75-650-65 לא פ</v>
          </cell>
          <cell r="C376">
            <v>0</v>
          </cell>
          <cell r="E376">
            <v>0</v>
          </cell>
        </row>
        <row r="377">
          <cell r="A377">
            <v>1611120530</v>
          </cell>
          <cell r="B377" t="str">
            <v>הוצ.רכב 41-311-75</v>
          </cell>
          <cell r="C377">
            <v>80000</v>
          </cell>
          <cell r="D377">
            <v>78000</v>
          </cell>
          <cell r="E377">
            <v>67470.25</v>
          </cell>
        </row>
        <row r="378">
          <cell r="A378">
            <v>1611130530</v>
          </cell>
          <cell r="B378" t="str">
            <v xml:space="preserve"> 73-956-72 ליסינג לא בשימוש</v>
          </cell>
          <cell r="C378">
            <v>0</v>
          </cell>
          <cell r="E378">
            <v>349.05</v>
          </cell>
        </row>
        <row r="379">
          <cell r="A379">
            <v>1611200530</v>
          </cell>
          <cell r="B379" t="str">
            <v>הוצ.רכב 75-650-65</v>
          </cell>
          <cell r="C379">
            <v>0</v>
          </cell>
          <cell r="E379">
            <v>0</v>
          </cell>
        </row>
        <row r="380">
          <cell r="A380">
            <v>1612000110</v>
          </cell>
          <cell r="B380" t="str">
            <v>מבקר-משכורת ושכר משולב</v>
          </cell>
          <cell r="C380">
            <v>588778</v>
          </cell>
          <cell r="D380">
            <v>560428</v>
          </cell>
          <cell r="E380">
            <v>434275.53</v>
          </cell>
        </row>
        <row r="381">
          <cell r="A381">
            <v>1612000440</v>
          </cell>
          <cell r="B381" t="str">
            <v>מבקר העיריה ביטוח</v>
          </cell>
          <cell r="C381">
            <v>17000</v>
          </cell>
          <cell r="D381">
            <v>10621</v>
          </cell>
          <cell r="E381">
            <v>8500</v>
          </cell>
        </row>
        <row r="382">
          <cell r="A382">
            <v>1612000521</v>
          </cell>
          <cell r="B382" t="str">
            <v>מבקר השתלמויות</v>
          </cell>
          <cell r="C382">
            <v>4000</v>
          </cell>
          <cell r="D382">
            <v>4000</v>
          </cell>
          <cell r="E382">
            <v>500</v>
          </cell>
        </row>
        <row r="383">
          <cell r="A383">
            <v>1612000522</v>
          </cell>
          <cell r="B383" t="str">
            <v>מבקר- ספרות מקצועית</v>
          </cell>
          <cell r="C383">
            <v>2000</v>
          </cell>
          <cell r="D383">
            <v>2000</v>
          </cell>
          <cell r="E383">
            <v>2000</v>
          </cell>
        </row>
        <row r="384">
          <cell r="A384">
            <v>1612000523</v>
          </cell>
          <cell r="B384" t="str">
            <v>מבקר-דמי חבר בארגונים</v>
          </cell>
          <cell r="C384">
            <v>900</v>
          </cell>
          <cell r="D384">
            <v>1800</v>
          </cell>
          <cell r="E384">
            <v>0</v>
          </cell>
        </row>
        <row r="385">
          <cell r="A385">
            <v>1612000530</v>
          </cell>
          <cell r="B385" t="str">
            <v>הוצ רכב מבקר 70-160-75</v>
          </cell>
          <cell r="C385">
            <v>80000</v>
          </cell>
          <cell r="D385">
            <v>69000</v>
          </cell>
          <cell r="E385">
            <v>64512.56</v>
          </cell>
        </row>
        <row r="386">
          <cell r="A386">
            <v>1612000560</v>
          </cell>
          <cell r="B386" t="str">
            <v>מבקר- הוצ' משרדיות</v>
          </cell>
          <cell r="C386">
            <v>1600</v>
          </cell>
          <cell r="D386">
            <v>1600</v>
          </cell>
          <cell r="E386">
            <v>1342.56</v>
          </cell>
        </row>
        <row r="387">
          <cell r="A387">
            <v>1612000780</v>
          </cell>
          <cell r="B387" t="str">
            <v>מבקר- הוצ' שונות</v>
          </cell>
          <cell r="C387">
            <v>500</v>
          </cell>
          <cell r="D387">
            <v>500</v>
          </cell>
          <cell r="E387">
            <v>873.75</v>
          </cell>
        </row>
        <row r="388">
          <cell r="A388">
            <v>1612000930</v>
          </cell>
          <cell r="B388" t="str">
            <v>מבקר רכישת ציוד יסודי</v>
          </cell>
          <cell r="C388">
            <v>1500</v>
          </cell>
          <cell r="D388">
            <v>1500</v>
          </cell>
          <cell r="E388">
            <v>0</v>
          </cell>
        </row>
        <row r="389">
          <cell r="A389">
            <v>1613000110</v>
          </cell>
          <cell r="B389" t="str">
            <v>מזכירות-משכורת ושכר מש</v>
          </cell>
          <cell r="C389">
            <v>1168203</v>
          </cell>
          <cell r="D389">
            <v>1106383</v>
          </cell>
          <cell r="E389">
            <v>856899.27</v>
          </cell>
        </row>
        <row r="390">
          <cell r="A390">
            <v>1613000440</v>
          </cell>
          <cell r="B390" t="str">
            <v>ביטוח</v>
          </cell>
          <cell r="C390">
            <v>25800</v>
          </cell>
          <cell r="D390">
            <v>14935</v>
          </cell>
          <cell r="E390">
            <v>12900</v>
          </cell>
        </row>
        <row r="391">
          <cell r="A391">
            <v>1613000470</v>
          </cell>
          <cell r="B391" t="str">
            <v>מזכירות-מכונות משרד וה</v>
          </cell>
          <cell r="C391">
            <v>1500</v>
          </cell>
          <cell r="D391">
            <v>1000</v>
          </cell>
          <cell r="E391">
            <v>300</v>
          </cell>
        </row>
        <row r="392">
          <cell r="A392">
            <v>1613000512</v>
          </cell>
          <cell r="B392" t="str">
            <v>מזכירות- אש"ל ונסיעות</v>
          </cell>
          <cell r="C392">
            <v>100</v>
          </cell>
          <cell r="D392">
            <v>100</v>
          </cell>
          <cell r="E392">
            <v>0</v>
          </cell>
        </row>
        <row r="393">
          <cell r="A393">
            <v>1613000520</v>
          </cell>
          <cell r="B393" t="str">
            <v>ספרים ועתונים</v>
          </cell>
          <cell r="C393">
            <v>2000</v>
          </cell>
          <cell r="D393">
            <v>2000</v>
          </cell>
          <cell r="E393">
            <v>1704</v>
          </cell>
        </row>
        <row r="394">
          <cell r="A394">
            <v>1613000521</v>
          </cell>
          <cell r="B394" t="str">
            <v>מזכירות - השתלמויות</v>
          </cell>
          <cell r="C394">
            <v>5000</v>
          </cell>
          <cell r="D394">
            <v>5000</v>
          </cell>
          <cell r="E394">
            <v>874</v>
          </cell>
        </row>
        <row r="395">
          <cell r="A395">
            <v>1613000522</v>
          </cell>
          <cell r="B395" t="str">
            <v>מזכירות - ספרות מקצועית</v>
          </cell>
          <cell r="C395">
            <v>5000</v>
          </cell>
          <cell r="D395">
            <v>5000</v>
          </cell>
          <cell r="E395">
            <v>770</v>
          </cell>
        </row>
        <row r="396">
          <cell r="A396">
            <v>1613000523</v>
          </cell>
          <cell r="B396" t="str">
            <v>מזכירות-דמי חבר בארגונים</v>
          </cell>
          <cell r="C396">
            <v>2500</v>
          </cell>
          <cell r="D396">
            <v>2500</v>
          </cell>
          <cell r="E396">
            <v>1850</v>
          </cell>
        </row>
        <row r="397">
          <cell r="A397">
            <v>1613000530</v>
          </cell>
          <cell r="B397" t="str">
            <v>הוצ.רכב 41-310-75 ליסינג</v>
          </cell>
          <cell r="C397">
            <v>80000</v>
          </cell>
          <cell r="D397">
            <v>69000</v>
          </cell>
          <cell r="E397">
            <v>62461.66</v>
          </cell>
        </row>
        <row r="398">
          <cell r="A398">
            <v>1613000560</v>
          </cell>
          <cell r="B398" t="str">
            <v>מזכירות-מכשירי כתיבה ו</v>
          </cell>
          <cell r="C398">
            <v>10000</v>
          </cell>
          <cell r="D398">
            <v>8000</v>
          </cell>
          <cell r="E398">
            <v>3488.77</v>
          </cell>
        </row>
        <row r="399">
          <cell r="A399">
            <v>1613000570</v>
          </cell>
          <cell r="B399" t="str">
            <v>מזכירות-מיכון ועיבוד נ</v>
          </cell>
          <cell r="C399">
            <v>0</v>
          </cell>
          <cell r="E399">
            <v>0</v>
          </cell>
        </row>
        <row r="400">
          <cell r="A400">
            <v>1613000580</v>
          </cell>
          <cell r="B400" t="str">
            <v>מזכירות-הוצ' אחרות</v>
          </cell>
          <cell r="C400">
            <v>10000</v>
          </cell>
          <cell r="D400">
            <v>8000</v>
          </cell>
          <cell r="E400">
            <v>1382.29</v>
          </cell>
        </row>
        <row r="401">
          <cell r="A401">
            <v>1613000810</v>
          </cell>
          <cell r="B401" t="str">
            <v>מרכז צעירים</v>
          </cell>
          <cell r="C401">
            <v>30000</v>
          </cell>
          <cell r="D401">
            <v>30000</v>
          </cell>
          <cell r="E401">
            <v>0</v>
          </cell>
        </row>
        <row r="402">
          <cell r="A402">
            <v>1613000930</v>
          </cell>
          <cell r="B402" t="str">
            <v>ריהוט וציוד</v>
          </cell>
          <cell r="C402">
            <v>22000</v>
          </cell>
          <cell r="D402">
            <v>20000</v>
          </cell>
          <cell r="E402">
            <v>16371</v>
          </cell>
        </row>
        <row r="403">
          <cell r="A403">
            <v>1613000980</v>
          </cell>
          <cell r="B403" t="str">
            <v>הוצאות אחרות</v>
          </cell>
          <cell r="C403">
            <v>34000</v>
          </cell>
          <cell r="D403">
            <v>30000</v>
          </cell>
          <cell r="E403">
            <v>26283.32</v>
          </cell>
        </row>
        <row r="404">
          <cell r="A404">
            <v>1614000110</v>
          </cell>
          <cell r="B404" t="str">
            <v>דוברות משכורות</v>
          </cell>
          <cell r="C404">
            <v>455947</v>
          </cell>
          <cell r="D404">
            <v>403655</v>
          </cell>
          <cell r="E404">
            <v>344756.69</v>
          </cell>
        </row>
        <row r="405">
          <cell r="A405">
            <v>1614000470</v>
          </cell>
          <cell r="B405" t="str">
            <v>דובר-צרכי משרד</v>
          </cell>
          <cell r="C405">
            <v>1000</v>
          </cell>
          <cell r="D405">
            <v>1000</v>
          </cell>
          <cell r="E405">
            <v>746</v>
          </cell>
        </row>
        <row r="406">
          <cell r="A406">
            <v>1614000521</v>
          </cell>
          <cell r="B406" t="str">
            <v>דובר-השתלמויות</v>
          </cell>
          <cell r="C406">
            <v>6000</v>
          </cell>
          <cell r="D406">
            <v>6000</v>
          </cell>
          <cell r="E406">
            <v>4450</v>
          </cell>
        </row>
        <row r="407">
          <cell r="A407">
            <v>1614000522</v>
          </cell>
          <cell r="B407" t="str">
            <v>דובר-ספרות מקצועית</v>
          </cell>
          <cell r="C407">
            <v>1500</v>
          </cell>
          <cell r="D407">
            <v>1500</v>
          </cell>
          <cell r="E407">
            <v>800</v>
          </cell>
        </row>
        <row r="408">
          <cell r="A408">
            <v>1614000550</v>
          </cell>
          <cell r="B408" t="str">
            <v>פירסומים</v>
          </cell>
          <cell r="C408">
            <v>200000</v>
          </cell>
          <cell r="D408">
            <v>190000</v>
          </cell>
          <cell r="E408">
            <v>165780.9</v>
          </cell>
        </row>
        <row r="409">
          <cell r="A409">
            <v>1614000930</v>
          </cell>
          <cell r="B409" t="str">
            <v>דובר-רכישת ציוד יסודי</v>
          </cell>
          <cell r="C409">
            <v>2000</v>
          </cell>
          <cell r="D409">
            <v>2000</v>
          </cell>
          <cell r="E409">
            <v>2000</v>
          </cell>
        </row>
        <row r="410">
          <cell r="A410">
            <v>1614001550</v>
          </cell>
          <cell r="B410" t="str">
            <v>תדמיתן</v>
          </cell>
          <cell r="C410">
            <v>0</v>
          </cell>
          <cell r="E410">
            <v>0</v>
          </cell>
        </row>
        <row r="411">
          <cell r="A411">
            <v>1614001551</v>
          </cell>
          <cell r="B411" t="str">
            <v>קשרי חוץ</v>
          </cell>
          <cell r="C411">
            <v>100000</v>
          </cell>
          <cell r="D411">
            <v>83000</v>
          </cell>
          <cell r="E411">
            <v>69167.75</v>
          </cell>
        </row>
        <row r="412">
          <cell r="A412">
            <v>1615000110</v>
          </cell>
          <cell r="B412" t="str">
            <v>מנגנון-משכורת ושכר משולב</v>
          </cell>
          <cell r="C412">
            <v>724715</v>
          </cell>
          <cell r="D412">
            <v>677885</v>
          </cell>
          <cell r="E412">
            <v>531416.37</v>
          </cell>
        </row>
        <row r="413">
          <cell r="A413">
            <v>1615000522</v>
          </cell>
          <cell r="B413" t="str">
            <v>מנגנון-ספרות מקצועית</v>
          </cell>
          <cell r="C413">
            <v>2000</v>
          </cell>
          <cell r="D413">
            <v>2000</v>
          </cell>
          <cell r="E413">
            <v>770</v>
          </cell>
        </row>
        <row r="414">
          <cell r="A414">
            <v>1615000523</v>
          </cell>
          <cell r="B414" t="str">
            <v>מנגנון-דמי חבר בארגוני</v>
          </cell>
          <cell r="C414">
            <v>1000</v>
          </cell>
          <cell r="E414">
            <v>0</v>
          </cell>
        </row>
        <row r="415">
          <cell r="A415">
            <v>1615000560</v>
          </cell>
          <cell r="B415" t="str">
            <v>מנגנון- הוצ' משרדיות</v>
          </cell>
          <cell r="C415">
            <v>4000</v>
          </cell>
          <cell r="D415">
            <v>3000</v>
          </cell>
          <cell r="E415">
            <v>1818.31</v>
          </cell>
        </row>
        <row r="416">
          <cell r="A416">
            <v>1615000571</v>
          </cell>
          <cell r="B416" t="str">
            <v>עלות שימוש בתוכנת נוכח</v>
          </cell>
          <cell r="C416">
            <v>10000</v>
          </cell>
          <cell r="D416">
            <v>10000</v>
          </cell>
          <cell r="E416">
            <v>10000</v>
          </cell>
        </row>
        <row r="417">
          <cell r="A417">
            <v>1615000760</v>
          </cell>
          <cell r="B417" t="str">
            <v>קניית שירותים ממוסדות</v>
          </cell>
          <cell r="C417">
            <v>18400</v>
          </cell>
          <cell r="E417">
            <v>0</v>
          </cell>
        </row>
        <row r="418">
          <cell r="A418">
            <v>1615000780</v>
          </cell>
          <cell r="B418" t="str">
            <v>מנגנון- הוצ' שונות</v>
          </cell>
          <cell r="C418">
            <v>15000</v>
          </cell>
          <cell r="D418">
            <v>12000</v>
          </cell>
          <cell r="E418">
            <v>5714.95</v>
          </cell>
        </row>
        <row r="419">
          <cell r="A419">
            <v>1615000930</v>
          </cell>
          <cell r="B419" t="str">
            <v>מנגנון-רכישת ציוד יסוד</v>
          </cell>
          <cell r="C419">
            <v>12000</v>
          </cell>
          <cell r="D419">
            <v>10000</v>
          </cell>
          <cell r="E419">
            <v>860</v>
          </cell>
        </row>
        <row r="420">
          <cell r="A420">
            <v>1617000110</v>
          </cell>
          <cell r="B420" t="str">
            <v>יועמ"ש-משכורת ושכר משוב</v>
          </cell>
          <cell r="C420">
            <v>1332292</v>
          </cell>
          <cell r="D420">
            <v>1380692</v>
          </cell>
          <cell r="E420">
            <v>1054461.23</v>
          </cell>
        </row>
        <row r="421">
          <cell r="A421">
            <v>1617000440</v>
          </cell>
          <cell r="B421" t="str">
            <v>ב. אחריות מקצועית</v>
          </cell>
          <cell r="C421">
            <v>36000</v>
          </cell>
          <cell r="D421">
            <v>36000</v>
          </cell>
          <cell r="E421">
            <v>11535</v>
          </cell>
        </row>
        <row r="422">
          <cell r="A422">
            <v>1617000441</v>
          </cell>
          <cell r="B422" t="str">
            <v>השתת' עצמית-חב' ביטוח</v>
          </cell>
          <cell r="C422">
            <v>400000</v>
          </cell>
          <cell r="D422">
            <v>157000</v>
          </cell>
          <cell r="E422">
            <v>313337</v>
          </cell>
        </row>
        <row r="423">
          <cell r="A423">
            <v>1617000442</v>
          </cell>
          <cell r="B423" t="str">
            <v>השתת' עצמית -תשלום לנפ</v>
          </cell>
          <cell r="C423">
            <v>200000</v>
          </cell>
          <cell r="D423">
            <v>140000</v>
          </cell>
          <cell r="E423">
            <v>143549</v>
          </cell>
        </row>
        <row r="424">
          <cell r="A424">
            <v>1617000500</v>
          </cell>
          <cell r="B424" t="str">
            <v>הוצאות משפטיות</v>
          </cell>
          <cell r="C424">
            <v>150000</v>
          </cell>
          <cell r="D424">
            <v>20000</v>
          </cell>
          <cell r="E424">
            <v>127705</v>
          </cell>
        </row>
        <row r="425">
          <cell r="A425">
            <v>1617000511</v>
          </cell>
          <cell r="B425" t="str">
            <v>יועמ"ש- כיבודים</v>
          </cell>
          <cell r="C425">
            <v>2100</v>
          </cell>
          <cell r="D425">
            <v>1500</v>
          </cell>
          <cell r="E425">
            <v>1215.3</v>
          </cell>
        </row>
        <row r="426">
          <cell r="A426">
            <v>1617000512</v>
          </cell>
          <cell r="B426" t="str">
            <v>יועמ"ש - אש"ל ונסיעות</v>
          </cell>
          <cell r="C426">
            <v>1500</v>
          </cell>
          <cell r="D426">
            <v>1000</v>
          </cell>
          <cell r="E426">
            <v>1049.3</v>
          </cell>
        </row>
        <row r="427">
          <cell r="A427">
            <v>1617000521</v>
          </cell>
          <cell r="B427" t="str">
            <v>יועמ"ש השתלמויות</v>
          </cell>
          <cell r="C427">
            <v>14250</v>
          </cell>
          <cell r="D427">
            <v>12850</v>
          </cell>
          <cell r="E427">
            <v>8851</v>
          </cell>
        </row>
        <row r="428">
          <cell r="A428">
            <v>1617000522</v>
          </cell>
          <cell r="B428" t="str">
            <v>יועמ"ש - ספרות מקצועית</v>
          </cell>
          <cell r="C428">
            <v>7000</v>
          </cell>
          <cell r="D428">
            <v>7500</v>
          </cell>
          <cell r="E428">
            <v>3962.92</v>
          </cell>
        </row>
        <row r="429">
          <cell r="A429">
            <v>1617000523</v>
          </cell>
          <cell r="B429" t="str">
            <v>יועמ"ש-דמי חבר בארגוני</v>
          </cell>
          <cell r="C429">
            <v>6650</v>
          </cell>
          <cell r="D429">
            <v>5600</v>
          </cell>
          <cell r="E429">
            <v>4520</v>
          </cell>
        </row>
        <row r="430">
          <cell r="A430">
            <v>1617000530</v>
          </cell>
          <cell r="B430" t="str">
            <v>הוצאות רכב73-954-72  ליס</v>
          </cell>
          <cell r="C430">
            <v>69000</v>
          </cell>
          <cell r="D430">
            <v>69000</v>
          </cell>
          <cell r="E430">
            <v>55407.3</v>
          </cell>
        </row>
        <row r="431">
          <cell r="A431">
            <v>1617000540</v>
          </cell>
          <cell r="B431" t="str">
            <v>יועמ"ש-דואר</v>
          </cell>
          <cell r="C431">
            <v>500</v>
          </cell>
          <cell r="D431">
            <v>500</v>
          </cell>
          <cell r="E431">
            <v>85</v>
          </cell>
        </row>
        <row r="432">
          <cell r="A432">
            <v>1617000560</v>
          </cell>
          <cell r="B432" t="str">
            <v>יועמ"ש- הוצ' משרדיות</v>
          </cell>
          <cell r="C432">
            <v>12000</v>
          </cell>
          <cell r="D432">
            <v>10000</v>
          </cell>
          <cell r="E432">
            <v>3994.07</v>
          </cell>
        </row>
        <row r="433">
          <cell r="A433">
            <v>1617000570</v>
          </cell>
          <cell r="B433" t="str">
            <v>יועמ"ש-מיכון ועיבוד נת</v>
          </cell>
          <cell r="C433">
            <v>13000</v>
          </cell>
          <cell r="D433">
            <v>14000</v>
          </cell>
          <cell r="E433">
            <v>10515</v>
          </cell>
        </row>
        <row r="434">
          <cell r="A434">
            <v>1617000580</v>
          </cell>
          <cell r="B434" t="str">
            <v>משפטים-הוצ' אחרות</v>
          </cell>
          <cell r="C434">
            <v>0</v>
          </cell>
          <cell r="E434">
            <v>0</v>
          </cell>
        </row>
        <row r="435">
          <cell r="A435">
            <v>1617000581</v>
          </cell>
          <cell r="B435" t="str">
            <v>יועמ"ש- הוצ' משפטיות</v>
          </cell>
          <cell r="C435">
            <v>71000</v>
          </cell>
          <cell r="D435">
            <v>50000</v>
          </cell>
          <cell r="E435">
            <v>53596</v>
          </cell>
        </row>
        <row r="436">
          <cell r="A436">
            <v>1617000750</v>
          </cell>
          <cell r="B436" t="str">
            <v>יועמ"ש עבודות קבלניות</v>
          </cell>
          <cell r="C436">
            <v>450000</v>
          </cell>
          <cell r="D436">
            <v>300000</v>
          </cell>
          <cell r="E436">
            <v>305456.44</v>
          </cell>
        </row>
        <row r="437">
          <cell r="A437">
            <v>1617000760</v>
          </cell>
          <cell r="B437" t="str">
            <v>קניית שירותים ממוסדות</v>
          </cell>
          <cell r="C437">
            <v>3000</v>
          </cell>
          <cell r="D437">
            <v>3000</v>
          </cell>
          <cell r="E437">
            <v>2504.64</v>
          </cell>
        </row>
        <row r="438">
          <cell r="A438">
            <v>1617000930</v>
          </cell>
          <cell r="B438" t="str">
            <v>יועמ"ש-רכישת ציוד יסוד</v>
          </cell>
          <cell r="C438">
            <v>15000</v>
          </cell>
          <cell r="D438">
            <v>24500</v>
          </cell>
          <cell r="E438">
            <v>18114.48</v>
          </cell>
        </row>
        <row r="439">
          <cell r="A439">
            <v>1617000980</v>
          </cell>
          <cell r="B439" t="str">
            <v>יועמ"ש- הוצ' אחרות</v>
          </cell>
          <cell r="C439">
            <v>5000</v>
          </cell>
          <cell r="D439">
            <v>5000</v>
          </cell>
          <cell r="E439">
            <v>5675.4</v>
          </cell>
        </row>
        <row r="440">
          <cell r="A440">
            <v>1619000110</v>
          </cell>
          <cell r="B440" t="str">
            <v>משכורת בחירות</v>
          </cell>
          <cell r="C440">
            <v>0</v>
          </cell>
          <cell r="E440">
            <v>0</v>
          </cell>
        </row>
        <row r="441">
          <cell r="A441">
            <v>1619000780</v>
          </cell>
          <cell r="B441" t="str">
            <v>ועדת בחירות</v>
          </cell>
          <cell r="C441">
            <v>0</v>
          </cell>
          <cell r="E441">
            <v>0</v>
          </cell>
        </row>
        <row r="442">
          <cell r="A442">
            <v>1620000399</v>
          </cell>
          <cell r="B442" t="str">
            <v>הפרשה לדמי הבראה ומענק</v>
          </cell>
          <cell r="C442">
            <v>0</v>
          </cell>
          <cell r="E442">
            <v>0</v>
          </cell>
        </row>
        <row r="443">
          <cell r="A443">
            <v>1621100110</v>
          </cell>
          <cell r="B443" t="str">
            <v>גזברות-משכורת ושכר משו</v>
          </cell>
          <cell r="C443">
            <v>1157191</v>
          </cell>
          <cell r="D443">
            <v>716978</v>
          </cell>
          <cell r="E443">
            <v>607831.72</v>
          </cell>
        </row>
        <row r="444">
          <cell r="A444">
            <v>1621100422</v>
          </cell>
          <cell r="B444" t="str">
            <v>גזברות-אחזקת מבנים</v>
          </cell>
          <cell r="C444">
            <v>0</v>
          </cell>
          <cell r="E444">
            <v>0</v>
          </cell>
        </row>
        <row r="445">
          <cell r="A445">
            <v>1621100440</v>
          </cell>
          <cell r="B445" t="str">
            <v>גזברות - ביטוח</v>
          </cell>
          <cell r="C445">
            <v>17000</v>
          </cell>
          <cell r="D445">
            <v>10621</v>
          </cell>
          <cell r="E445">
            <v>8500</v>
          </cell>
        </row>
        <row r="446">
          <cell r="A446">
            <v>1621100470</v>
          </cell>
          <cell r="B446" t="str">
            <v>גזברות-ציוד משרדי מתכלה</v>
          </cell>
          <cell r="C446">
            <v>1400</v>
          </cell>
          <cell r="D446">
            <v>1400</v>
          </cell>
          <cell r="E446">
            <v>1382</v>
          </cell>
        </row>
        <row r="447">
          <cell r="A447">
            <v>1621100511</v>
          </cell>
          <cell r="B447" t="str">
            <v>גזברות - כבודים</v>
          </cell>
          <cell r="C447">
            <v>1000</v>
          </cell>
          <cell r="D447">
            <v>1000</v>
          </cell>
          <cell r="E447">
            <v>0</v>
          </cell>
        </row>
        <row r="448">
          <cell r="A448">
            <v>1621100512</v>
          </cell>
          <cell r="B448" t="str">
            <v>גזברות- אש"ל ונסיעות</v>
          </cell>
          <cell r="C448">
            <v>2000</v>
          </cell>
          <cell r="D448">
            <v>2000</v>
          </cell>
          <cell r="E448">
            <v>1500</v>
          </cell>
        </row>
        <row r="449">
          <cell r="A449">
            <v>1621100521</v>
          </cell>
          <cell r="B449" t="str">
            <v>גזברות-השתלמויות</v>
          </cell>
          <cell r="C449">
            <v>6000</v>
          </cell>
          <cell r="D449">
            <v>6000</v>
          </cell>
          <cell r="E449">
            <v>2950</v>
          </cell>
        </row>
        <row r="450">
          <cell r="A450">
            <v>1621100522</v>
          </cell>
          <cell r="B450" t="str">
            <v>גזברות- ספרים ועתונים</v>
          </cell>
          <cell r="C450">
            <v>6000</v>
          </cell>
          <cell r="D450">
            <v>8000</v>
          </cell>
          <cell r="E450">
            <v>2106.35</v>
          </cell>
        </row>
        <row r="451">
          <cell r="A451">
            <v>1621100523</v>
          </cell>
          <cell r="B451" t="str">
            <v>גזברות-דמי חבר בארגוני</v>
          </cell>
          <cell r="C451">
            <v>3100</v>
          </cell>
          <cell r="D451">
            <v>3100</v>
          </cell>
          <cell r="E451">
            <v>0</v>
          </cell>
        </row>
        <row r="452">
          <cell r="A452">
            <v>1621100530</v>
          </cell>
          <cell r="B452" t="str">
            <v>הוצ.רכב 70-181-75 ליסינג</v>
          </cell>
          <cell r="C452">
            <v>80000</v>
          </cell>
          <cell r="D452">
            <v>69000</v>
          </cell>
          <cell r="E452">
            <v>71177.89</v>
          </cell>
        </row>
        <row r="453">
          <cell r="A453">
            <v>1621100540</v>
          </cell>
          <cell r="B453" t="str">
            <v>גזברות-דאר</v>
          </cell>
          <cell r="C453">
            <v>0</v>
          </cell>
          <cell r="E453">
            <v>0</v>
          </cell>
        </row>
        <row r="454">
          <cell r="A454">
            <v>1621100560</v>
          </cell>
          <cell r="B454" t="str">
            <v>גזברות - הוצ' משרדיות</v>
          </cell>
          <cell r="C454">
            <v>7500</v>
          </cell>
          <cell r="D454">
            <v>7500</v>
          </cell>
          <cell r="E454">
            <v>7038.09</v>
          </cell>
        </row>
        <row r="455">
          <cell r="A455">
            <v>1621100580</v>
          </cell>
          <cell r="B455" t="str">
            <v>גזברות-הוצ' אחרות</v>
          </cell>
          <cell r="C455">
            <v>0</v>
          </cell>
          <cell r="E455">
            <v>593.08000000000004</v>
          </cell>
        </row>
        <row r="456">
          <cell r="A456">
            <v>1621100742</v>
          </cell>
          <cell r="B456" t="str">
            <v>גזברות-כלים מכשירים וצ</v>
          </cell>
          <cell r="C456">
            <v>100</v>
          </cell>
          <cell r="D456">
            <v>100</v>
          </cell>
          <cell r="E456">
            <v>0</v>
          </cell>
        </row>
        <row r="457">
          <cell r="A457">
            <v>1621100760</v>
          </cell>
          <cell r="B457" t="str">
            <v>קניית שירותים ממוסדות</v>
          </cell>
          <cell r="C457">
            <v>17000</v>
          </cell>
          <cell r="D457">
            <v>17000</v>
          </cell>
          <cell r="E457">
            <v>0</v>
          </cell>
        </row>
        <row r="458">
          <cell r="A458">
            <v>1621100930</v>
          </cell>
          <cell r="B458" t="str">
            <v>גזברות-רכישת ציוד יסוד</v>
          </cell>
          <cell r="C458">
            <v>9000</v>
          </cell>
          <cell r="D458">
            <v>9000</v>
          </cell>
          <cell r="E458">
            <v>8252.1299999999992</v>
          </cell>
        </row>
        <row r="459">
          <cell r="A459">
            <v>1621100980</v>
          </cell>
          <cell r="B459" t="str">
            <v>גזברות - הוצ' אחרות</v>
          </cell>
          <cell r="C459">
            <v>6900</v>
          </cell>
          <cell r="D459">
            <v>6900</v>
          </cell>
          <cell r="E459">
            <v>10290.799999999999</v>
          </cell>
        </row>
        <row r="460">
          <cell r="A460">
            <v>1621300110</v>
          </cell>
          <cell r="B460" t="str">
            <v>הנה"ח-משכורת ושכר משולב</v>
          </cell>
          <cell r="C460">
            <v>0</v>
          </cell>
          <cell r="E460">
            <v>0</v>
          </cell>
        </row>
        <row r="461">
          <cell r="A461">
            <v>1621300470</v>
          </cell>
          <cell r="B461" t="str">
            <v>הנה"ח-ציוד משרדי מתכלה</v>
          </cell>
          <cell r="C461">
            <v>1500</v>
          </cell>
          <cell r="D461">
            <v>2000</v>
          </cell>
          <cell r="E461">
            <v>0</v>
          </cell>
        </row>
        <row r="462">
          <cell r="A462">
            <v>1621300560</v>
          </cell>
          <cell r="B462" t="str">
            <v>הנה"ח- הוצ' משרדיות</v>
          </cell>
          <cell r="C462">
            <v>9900</v>
          </cell>
          <cell r="D462">
            <v>9900</v>
          </cell>
          <cell r="E462">
            <v>8366.56</v>
          </cell>
        </row>
        <row r="463">
          <cell r="A463">
            <v>1621300570</v>
          </cell>
          <cell r="B463" t="str">
            <v>הנה"ח-מיכון ועיבוד נתונים</v>
          </cell>
          <cell r="C463">
            <v>170000</v>
          </cell>
          <cell r="D463">
            <v>167760</v>
          </cell>
          <cell r="E463">
            <v>70332.3</v>
          </cell>
        </row>
        <row r="464">
          <cell r="A464">
            <v>1621300580</v>
          </cell>
          <cell r="B464" t="str">
            <v>הנהח"ש-הוצ' אחרות</v>
          </cell>
          <cell r="C464">
            <v>0</v>
          </cell>
          <cell r="E464">
            <v>0</v>
          </cell>
        </row>
        <row r="465">
          <cell r="A465">
            <v>1621300750</v>
          </cell>
          <cell r="B465" t="str">
            <v>הנה"ח - עבודות קבלניות</v>
          </cell>
          <cell r="C465">
            <v>1739000</v>
          </cell>
          <cell r="D465">
            <v>1695544</v>
          </cell>
          <cell r="E465">
            <v>1282215</v>
          </cell>
        </row>
        <row r="466">
          <cell r="A466">
            <v>1621300780</v>
          </cell>
          <cell r="B466" t="str">
            <v>הנה"ח - הוצ' שונות</v>
          </cell>
          <cell r="C466">
            <v>17000</v>
          </cell>
          <cell r="D466">
            <v>17000</v>
          </cell>
          <cell r="E466">
            <v>13491</v>
          </cell>
        </row>
        <row r="467">
          <cell r="A467">
            <v>1621300930</v>
          </cell>
          <cell r="B467" t="str">
            <v>הנח"ש-רכישת ציוד יסודי</v>
          </cell>
          <cell r="C467">
            <v>15000</v>
          </cell>
          <cell r="D467">
            <v>15000</v>
          </cell>
          <cell r="E467">
            <v>12591</v>
          </cell>
        </row>
        <row r="468">
          <cell r="A468">
            <v>1621500110</v>
          </cell>
          <cell r="B468" t="str">
            <v>שכר-משכורת ושכר משולב</v>
          </cell>
          <cell r="C468">
            <v>436341</v>
          </cell>
          <cell r="D468">
            <v>452614</v>
          </cell>
          <cell r="E468">
            <v>318381.93</v>
          </cell>
        </row>
        <row r="469">
          <cell r="A469">
            <v>1621500521</v>
          </cell>
          <cell r="B469" t="str">
            <v>משכורת - השתלמויות</v>
          </cell>
          <cell r="C469">
            <v>4500</v>
          </cell>
          <cell r="D469">
            <v>4500</v>
          </cell>
          <cell r="E469">
            <v>1000</v>
          </cell>
        </row>
        <row r="470">
          <cell r="A470">
            <v>1621500540</v>
          </cell>
          <cell r="B470" t="str">
            <v>הוצאות דואר</v>
          </cell>
          <cell r="C470">
            <v>10000</v>
          </cell>
          <cell r="D470">
            <v>10000</v>
          </cell>
          <cell r="E470">
            <v>0</v>
          </cell>
        </row>
        <row r="471">
          <cell r="A471">
            <v>1621500560</v>
          </cell>
          <cell r="B471" t="str">
            <v>משכורת- הוצ' משרדיות</v>
          </cell>
          <cell r="C471">
            <v>900</v>
          </cell>
          <cell r="D471">
            <v>900</v>
          </cell>
          <cell r="E471">
            <v>945.86</v>
          </cell>
        </row>
        <row r="472">
          <cell r="A472">
            <v>1621500570</v>
          </cell>
          <cell r="B472" t="str">
            <v>משכורת-מיכון ועיבוד נתונים</v>
          </cell>
          <cell r="C472">
            <v>244000</v>
          </cell>
          <cell r="D472">
            <v>167760</v>
          </cell>
          <cell r="E472">
            <v>160442.76</v>
          </cell>
        </row>
        <row r="473">
          <cell r="A473">
            <v>1621500750</v>
          </cell>
          <cell r="B473" t="str">
            <v>משכורת עבודות קבלניות</v>
          </cell>
          <cell r="C473">
            <v>0</v>
          </cell>
          <cell r="E473">
            <v>37120</v>
          </cell>
        </row>
        <row r="474">
          <cell r="A474">
            <v>1621500780</v>
          </cell>
          <cell r="B474" t="str">
            <v>משכורת- הוצ' שונות</v>
          </cell>
          <cell r="C474">
            <v>2400</v>
          </cell>
          <cell r="D474">
            <v>2400</v>
          </cell>
          <cell r="E474">
            <v>3219</v>
          </cell>
        </row>
        <row r="475">
          <cell r="A475">
            <v>1621500930</v>
          </cell>
          <cell r="B475" t="str">
            <v>משכורת-רכישת ציוד יסוד</v>
          </cell>
          <cell r="C475">
            <v>3000</v>
          </cell>
          <cell r="D475">
            <v>7000</v>
          </cell>
          <cell r="E475">
            <v>1723.18</v>
          </cell>
        </row>
        <row r="476">
          <cell r="A476">
            <v>1623000110</v>
          </cell>
          <cell r="B476" t="str">
            <v>גביה-משכורת ושכר משולב</v>
          </cell>
          <cell r="C476">
            <v>729235</v>
          </cell>
          <cell r="D476">
            <v>835125</v>
          </cell>
          <cell r="E476">
            <v>526558.18999999994</v>
          </cell>
        </row>
        <row r="477">
          <cell r="A477">
            <v>1623000440</v>
          </cell>
          <cell r="B477" t="str">
            <v>גביה- ביטוח</v>
          </cell>
          <cell r="C477">
            <v>2520</v>
          </cell>
          <cell r="D477">
            <v>1600</v>
          </cell>
          <cell r="E477">
            <v>1260</v>
          </cell>
        </row>
        <row r="478">
          <cell r="A478">
            <v>1623000521</v>
          </cell>
          <cell r="B478" t="str">
            <v>גביה-השתלמויות</v>
          </cell>
          <cell r="C478">
            <v>2400</v>
          </cell>
          <cell r="D478">
            <v>2400</v>
          </cell>
          <cell r="E478">
            <v>0</v>
          </cell>
        </row>
        <row r="479">
          <cell r="A479">
            <v>1623000530</v>
          </cell>
          <cell r="B479" t="str">
            <v>רכב 36-959-79 ליסינג</v>
          </cell>
          <cell r="C479">
            <v>0</v>
          </cell>
          <cell r="E479">
            <v>4024.46</v>
          </cell>
        </row>
        <row r="480">
          <cell r="A480">
            <v>1623000540</v>
          </cell>
          <cell r="B480" t="str">
            <v>גביה-הוצ' דואר</v>
          </cell>
          <cell r="C480">
            <v>0</v>
          </cell>
          <cell r="E480">
            <v>0</v>
          </cell>
        </row>
        <row r="481">
          <cell r="A481">
            <v>1623000560</v>
          </cell>
          <cell r="B481" t="str">
            <v>גביה - הוצ' משרדיות</v>
          </cell>
          <cell r="C481">
            <v>2500</v>
          </cell>
          <cell r="D481">
            <v>2500</v>
          </cell>
          <cell r="E481">
            <v>9066</v>
          </cell>
        </row>
        <row r="482">
          <cell r="A482">
            <v>1623000561</v>
          </cell>
          <cell r="B482" t="str">
            <v>מילגם-ציוד משרדי</v>
          </cell>
          <cell r="C482">
            <v>0</v>
          </cell>
          <cell r="E482">
            <v>1026.0999999999999</v>
          </cell>
        </row>
        <row r="483">
          <cell r="A483">
            <v>1623000570</v>
          </cell>
          <cell r="B483" t="str">
            <v>גביה-מיכון ועיבוד נתונים</v>
          </cell>
          <cell r="C483">
            <v>280000</v>
          </cell>
          <cell r="D483">
            <v>280000</v>
          </cell>
          <cell r="E483">
            <v>153435.06</v>
          </cell>
        </row>
        <row r="484">
          <cell r="A484">
            <v>1623000580</v>
          </cell>
          <cell r="B484" t="str">
            <v>גביה-הוצ' אחרות</v>
          </cell>
          <cell r="C484">
            <v>8000</v>
          </cell>
          <cell r="D484">
            <v>8000</v>
          </cell>
          <cell r="E484">
            <v>22785.57</v>
          </cell>
        </row>
        <row r="485">
          <cell r="A485">
            <v>1623000731</v>
          </cell>
          <cell r="B485" t="str">
            <v>הוצ' קטנוע 49-471-13</v>
          </cell>
          <cell r="C485">
            <v>0</v>
          </cell>
          <cell r="E485">
            <v>3492.6</v>
          </cell>
        </row>
        <row r="486">
          <cell r="A486">
            <v>1623000750</v>
          </cell>
          <cell r="B486" t="str">
            <v>גביה - קבלן -ארנונה</v>
          </cell>
          <cell r="C486">
            <v>2800000</v>
          </cell>
          <cell r="D486">
            <v>2800000</v>
          </cell>
          <cell r="E486">
            <v>1511355.65</v>
          </cell>
        </row>
        <row r="487">
          <cell r="A487">
            <v>1623000751</v>
          </cell>
          <cell r="B487" t="str">
            <v>מדידות</v>
          </cell>
          <cell r="C487">
            <v>30000</v>
          </cell>
          <cell r="D487">
            <v>30000</v>
          </cell>
          <cell r="E487">
            <v>0</v>
          </cell>
        </row>
        <row r="488">
          <cell r="A488">
            <v>1623000752</v>
          </cell>
          <cell r="B488" t="str">
            <v>הוצאות גביה תאגיד מים</v>
          </cell>
          <cell r="C488">
            <v>0</v>
          </cell>
          <cell r="E488">
            <v>0</v>
          </cell>
        </row>
        <row r="489">
          <cell r="A489">
            <v>1623000780</v>
          </cell>
          <cell r="B489" t="str">
            <v>גביה - ועדת ערר</v>
          </cell>
          <cell r="C489">
            <v>76000</v>
          </cell>
          <cell r="D489">
            <v>76000</v>
          </cell>
          <cell r="E489">
            <v>65435</v>
          </cell>
        </row>
        <row r="490">
          <cell r="A490">
            <v>1623000930</v>
          </cell>
          <cell r="B490" t="str">
            <v>גביה-רהוט וציוד</v>
          </cell>
          <cell r="C490">
            <v>4000</v>
          </cell>
          <cell r="D490">
            <v>4000</v>
          </cell>
          <cell r="E490">
            <v>0</v>
          </cell>
        </row>
        <row r="491">
          <cell r="A491">
            <v>1631000610</v>
          </cell>
          <cell r="B491" t="str">
            <v>עמלות</v>
          </cell>
          <cell r="C491">
            <v>700000</v>
          </cell>
          <cell r="D491">
            <v>700000</v>
          </cell>
          <cell r="E491">
            <v>479212.98</v>
          </cell>
        </row>
        <row r="492">
          <cell r="A492">
            <v>1631100610</v>
          </cell>
          <cell r="B492" t="str">
            <v>עמלות בנקאיות בגין עיק</v>
          </cell>
          <cell r="C492">
            <v>350000</v>
          </cell>
          <cell r="D492">
            <v>350000</v>
          </cell>
          <cell r="E492">
            <v>97498.16</v>
          </cell>
        </row>
        <row r="493">
          <cell r="A493">
            <v>1632000620</v>
          </cell>
          <cell r="B493" t="str">
            <v>רבית על משיכות יתר</v>
          </cell>
          <cell r="C493">
            <v>420000</v>
          </cell>
          <cell r="D493">
            <v>420000</v>
          </cell>
          <cell r="E493">
            <v>89875.65</v>
          </cell>
        </row>
        <row r="494">
          <cell r="A494">
            <v>1632000621</v>
          </cell>
          <cell r="B494" t="str">
            <v>ריבית ספקים</v>
          </cell>
          <cell r="C494">
            <v>0</v>
          </cell>
          <cell r="E494">
            <v>0</v>
          </cell>
        </row>
        <row r="495">
          <cell r="A495">
            <v>1632000622</v>
          </cell>
          <cell r="B495" t="str">
            <v>מימון השקעות בהלוואות</v>
          </cell>
          <cell r="C495">
            <v>70000</v>
          </cell>
          <cell r="D495">
            <v>70000</v>
          </cell>
          <cell r="E495">
            <v>0</v>
          </cell>
        </row>
        <row r="496">
          <cell r="A496">
            <v>1632000623</v>
          </cell>
          <cell r="B496" t="str">
            <v>הנחות מימון</v>
          </cell>
          <cell r="C496">
            <v>500000</v>
          </cell>
          <cell r="D496">
            <v>500000</v>
          </cell>
          <cell r="E496">
            <v>336594</v>
          </cell>
        </row>
        <row r="497">
          <cell r="A497">
            <v>1649000691</v>
          </cell>
          <cell r="B497" t="str">
            <v>פרעון קרן הלו.ביוב ומים</v>
          </cell>
          <cell r="C497">
            <v>0</v>
          </cell>
          <cell r="E497">
            <v>12607.71</v>
          </cell>
        </row>
        <row r="498">
          <cell r="A498">
            <v>1649000692</v>
          </cell>
          <cell r="B498" t="str">
            <v>פרעון ריבית הלו.ביוב ו</v>
          </cell>
          <cell r="C498">
            <v>0</v>
          </cell>
          <cell r="E498">
            <v>10990.31</v>
          </cell>
        </row>
        <row r="499">
          <cell r="A499">
            <v>1649000693</v>
          </cell>
          <cell r="B499" t="str">
            <v>פרעון הצמדה הלו.ביוב ו</v>
          </cell>
          <cell r="C499">
            <v>0</v>
          </cell>
          <cell r="E499">
            <v>1906.93</v>
          </cell>
        </row>
        <row r="500">
          <cell r="A500">
            <v>1649000694</v>
          </cell>
          <cell r="B500" t="str">
            <v>פרעון קרן</v>
          </cell>
          <cell r="C500">
            <v>2033839</v>
          </cell>
          <cell r="D500">
            <v>2110232</v>
          </cell>
          <cell r="E500">
            <v>1436000.6</v>
          </cell>
        </row>
        <row r="501">
          <cell r="A501">
            <v>1649000695</v>
          </cell>
          <cell r="B501" t="str">
            <v>פרעון ריבית</v>
          </cell>
          <cell r="C501">
            <v>838655</v>
          </cell>
          <cell r="D501">
            <v>1203772</v>
          </cell>
          <cell r="E501">
            <v>681650.57</v>
          </cell>
        </row>
        <row r="502">
          <cell r="A502">
            <v>1649000696</v>
          </cell>
          <cell r="B502" t="str">
            <v>פרעון הצמדה</v>
          </cell>
          <cell r="C502">
            <v>236871</v>
          </cell>
          <cell r="D502">
            <v>368577</v>
          </cell>
          <cell r="E502">
            <v>269344.09999999998</v>
          </cell>
        </row>
        <row r="503">
          <cell r="A503">
            <v>1649100691</v>
          </cell>
          <cell r="B503" t="str">
            <v>פרעון קרן מלוות</v>
          </cell>
          <cell r="C503">
            <v>5351853</v>
          </cell>
          <cell r="D503">
            <v>5375702</v>
          </cell>
          <cell r="E503">
            <v>3642296.34</v>
          </cell>
        </row>
        <row r="504">
          <cell r="A504">
            <v>1649100692</v>
          </cell>
          <cell r="B504" t="str">
            <v>פרעון ריבית הלוות</v>
          </cell>
          <cell r="C504">
            <v>2083460</v>
          </cell>
          <cell r="D504">
            <v>2651369</v>
          </cell>
          <cell r="E504">
            <v>1680062.87</v>
          </cell>
        </row>
        <row r="505">
          <cell r="A505">
            <v>1649100693</v>
          </cell>
          <cell r="B505" t="str">
            <v>פרעון הצמדה מלוות</v>
          </cell>
          <cell r="C505">
            <v>755352</v>
          </cell>
          <cell r="D505">
            <v>871785</v>
          </cell>
          <cell r="E505">
            <v>503174</v>
          </cell>
        </row>
        <row r="506">
          <cell r="A506">
            <v>1710000399</v>
          </cell>
          <cell r="B506" t="str">
            <v>הפרשה לדמי הבראה ומענק</v>
          </cell>
          <cell r="C506">
            <v>0</v>
          </cell>
          <cell r="E506">
            <v>0</v>
          </cell>
        </row>
        <row r="507">
          <cell r="A507">
            <v>1711000110</v>
          </cell>
          <cell r="B507" t="str">
            <v>תברואה-משכורת ושכר משולב</v>
          </cell>
          <cell r="C507">
            <v>1251869</v>
          </cell>
          <cell r="D507">
            <v>1175434</v>
          </cell>
          <cell r="E507">
            <v>898812.7</v>
          </cell>
        </row>
        <row r="508">
          <cell r="A508">
            <v>1711000511</v>
          </cell>
          <cell r="B508" t="str">
            <v>תברואה - כיבוד</v>
          </cell>
          <cell r="C508">
            <v>1800</v>
          </cell>
          <cell r="D508">
            <v>1800</v>
          </cell>
          <cell r="E508">
            <v>800</v>
          </cell>
        </row>
        <row r="509">
          <cell r="A509">
            <v>1711000512</v>
          </cell>
          <cell r="B509" t="str">
            <v>תברואה- אש"ל ונסיעות</v>
          </cell>
          <cell r="C509">
            <v>1500</v>
          </cell>
          <cell r="D509">
            <v>1500</v>
          </cell>
          <cell r="E509">
            <v>0</v>
          </cell>
        </row>
        <row r="510">
          <cell r="A510">
            <v>1711000521</v>
          </cell>
          <cell r="B510" t="str">
            <v>השתלמויות</v>
          </cell>
          <cell r="C510">
            <v>2600</v>
          </cell>
          <cell r="D510">
            <v>2600</v>
          </cell>
          <cell r="E510">
            <v>1698</v>
          </cell>
        </row>
        <row r="511">
          <cell r="A511">
            <v>1711000560</v>
          </cell>
          <cell r="B511" t="str">
            <v>תברואה- הוצ' משרדיות</v>
          </cell>
          <cell r="C511">
            <v>4000</v>
          </cell>
          <cell r="D511">
            <v>3700</v>
          </cell>
          <cell r="E511">
            <v>1433.32</v>
          </cell>
        </row>
        <row r="512">
          <cell r="A512">
            <v>1711000570</v>
          </cell>
          <cell r="B512" t="str">
            <v>תברואה-מיכון ועיבוד נתונים</v>
          </cell>
          <cell r="C512">
            <v>0</v>
          </cell>
          <cell r="E512">
            <v>0</v>
          </cell>
        </row>
        <row r="513">
          <cell r="A513">
            <v>1711000580</v>
          </cell>
          <cell r="B513" t="str">
            <v>תברואה-הוצ' אחרות</v>
          </cell>
          <cell r="C513">
            <v>1000</v>
          </cell>
          <cell r="D513">
            <v>1000</v>
          </cell>
          <cell r="E513">
            <v>2980</v>
          </cell>
        </row>
        <row r="514">
          <cell r="A514">
            <v>1711000731</v>
          </cell>
          <cell r="B514" t="str">
            <v>טנדר יסוזו 68-152-17</v>
          </cell>
          <cell r="C514">
            <v>21000</v>
          </cell>
          <cell r="D514">
            <v>45000</v>
          </cell>
          <cell r="E514">
            <v>14127.66</v>
          </cell>
        </row>
        <row r="515">
          <cell r="A515">
            <v>1711000760</v>
          </cell>
          <cell r="B515" t="str">
            <v>קניית שירותים ממוסדות</v>
          </cell>
          <cell r="C515">
            <v>19000</v>
          </cell>
          <cell r="D515">
            <v>16000</v>
          </cell>
          <cell r="E515">
            <v>10728.1</v>
          </cell>
        </row>
        <row r="516">
          <cell r="A516">
            <v>1711000780</v>
          </cell>
          <cell r="B516" t="str">
            <v>תברואה- הוצ' שונות</v>
          </cell>
          <cell r="C516">
            <v>3500</v>
          </cell>
          <cell r="D516">
            <v>1600</v>
          </cell>
          <cell r="E516">
            <v>564</v>
          </cell>
        </row>
        <row r="517">
          <cell r="A517">
            <v>1711000930</v>
          </cell>
          <cell r="B517" t="str">
            <v>תברואה-רכישת ציוד יסוד</v>
          </cell>
          <cell r="C517">
            <v>10000</v>
          </cell>
          <cell r="D517">
            <v>9500</v>
          </cell>
          <cell r="E517">
            <v>9500</v>
          </cell>
        </row>
        <row r="518">
          <cell r="A518">
            <v>1711001731</v>
          </cell>
          <cell r="B518" t="str">
            <v>נגרר 63611-15</v>
          </cell>
          <cell r="C518">
            <v>0</v>
          </cell>
          <cell r="E518">
            <v>0</v>
          </cell>
        </row>
        <row r="519">
          <cell r="A519">
            <v>1711100980</v>
          </cell>
          <cell r="B519" t="str">
            <v>הוצאות אחרות בלתי רגיל</v>
          </cell>
          <cell r="C519">
            <v>294000</v>
          </cell>
          <cell r="D519">
            <v>104818</v>
          </cell>
          <cell r="E519">
            <v>49383</v>
          </cell>
        </row>
        <row r="520">
          <cell r="A520">
            <v>1712000811</v>
          </cell>
          <cell r="B520" t="str">
            <v>עיר ללא אלימות-פר 12</v>
          </cell>
          <cell r="C520">
            <v>0</v>
          </cell>
          <cell r="E520">
            <v>0</v>
          </cell>
        </row>
        <row r="521">
          <cell r="A521">
            <v>1712000910</v>
          </cell>
          <cell r="B521" t="str">
            <v>עיר ללא אלימות</v>
          </cell>
          <cell r="C521">
            <v>0</v>
          </cell>
          <cell r="E521">
            <v>0</v>
          </cell>
        </row>
        <row r="522">
          <cell r="A522">
            <v>1712200110</v>
          </cell>
          <cell r="B522" t="str">
            <v>תברואה-משכורת ושכר משולב</v>
          </cell>
          <cell r="C522">
            <v>477891</v>
          </cell>
          <cell r="D522">
            <v>465709</v>
          </cell>
          <cell r="E522">
            <v>344236.65</v>
          </cell>
        </row>
        <row r="523">
          <cell r="A523">
            <v>1712200731</v>
          </cell>
          <cell r="B523" t="str">
            <v>הוצ' קטנוע 1035765</v>
          </cell>
          <cell r="C523">
            <v>8000</v>
          </cell>
          <cell r="E523">
            <v>4803.09</v>
          </cell>
        </row>
        <row r="524">
          <cell r="A524">
            <v>1712200740</v>
          </cell>
          <cell r="B524" t="str">
            <v>ניקוי רחובות-ציוד</v>
          </cell>
          <cell r="C524">
            <v>10000</v>
          </cell>
          <cell r="D524">
            <v>10000</v>
          </cell>
          <cell r="E524">
            <v>10000</v>
          </cell>
        </row>
        <row r="525">
          <cell r="A525">
            <v>1712200750</v>
          </cell>
          <cell r="B525" t="str">
            <v>טיאוט רחובות ע"י מכונות</v>
          </cell>
          <cell r="C525">
            <v>450000</v>
          </cell>
          <cell r="D525">
            <v>450000</v>
          </cell>
          <cell r="E525">
            <v>262500</v>
          </cell>
        </row>
        <row r="526">
          <cell r="A526">
            <v>1712200751</v>
          </cell>
          <cell r="B526" t="str">
            <v>נקיון רחובות</v>
          </cell>
          <cell r="C526">
            <v>6000000</v>
          </cell>
          <cell r="D526">
            <v>5452000</v>
          </cell>
          <cell r="E526">
            <v>3462395</v>
          </cell>
        </row>
        <row r="527">
          <cell r="A527">
            <v>1712200752</v>
          </cell>
          <cell r="B527" t="str">
            <v>כלי צ.מ.ה</v>
          </cell>
          <cell r="C527">
            <v>60000</v>
          </cell>
          <cell r="D527">
            <v>60000</v>
          </cell>
          <cell r="E527">
            <v>51330</v>
          </cell>
        </row>
        <row r="528">
          <cell r="A528">
            <v>1712200753</v>
          </cell>
          <cell r="B528" t="str">
            <v>שרותים צבוריים-ע"ע</v>
          </cell>
          <cell r="C528">
            <v>8500</v>
          </cell>
          <cell r="D528">
            <v>8500</v>
          </cell>
          <cell r="E528">
            <v>7388.59</v>
          </cell>
        </row>
        <row r="529">
          <cell r="A529">
            <v>1712201731</v>
          </cell>
          <cell r="B529" t="str">
            <v>קטנוע 1225265</v>
          </cell>
          <cell r="C529">
            <v>7500</v>
          </cell>
          <cell r="D529">
            <v>7500</v>
          </cell>
          <cell r="E529">
            <v>5441.6</v>
          </cell>
        </row>
        <row r="530">
          <cell r="A530">
            <v>1712202731</v>
          </cell>
          <cell r="B530" t="str">
            <v>תפעול 47-716-70</v>
          </cell>
          <cell r="C530">
            <v>6000</v>
          </cell>
          <cell r="D530">
            <v>7000</v>
          </cell>
          <cell r="E530">
            <v>4374.59</v>
          </cell>
        </row>
        <row r="531">
          <cell r="A531">
            <v>1712203731</v>
          </cell>
          <cell r="B531" t="str">
            <v>הוצ' קטנוע 1035865</v>
          </cell>
          <cell r="C531">
            <v>8000</v>
          </cell>
          <cell r="E531">
            <v>4213.92</v>
          </cell>
        </row>
        <row r="532">
          <cell r="A532">
            <v>1712204731</v>
          </cell>
          <cell r="B532" t="str">
            <v>הוצ' קטנוע 1035965</v>
          </cell>
          <cell r="C532">
            <v>8000</v>
          </cell>
          <cell r="E532">
            <v>3921.54</v>
          </cell>
        </row>
        <row r="533">
          <cell r="A533">
            <v>1712205731</v>
          </cell>
          <cell r="B533" t="str">
            <v>הוצ' רכב 53-024-78</v>
          </cell>
          <cell r="C533">
            <v>0</v>
          </cell>
          <cell r="E533">
            <v>1425.33</v>
          </cell>
        </row>
        <row r="534">
          <cell r="A534">
            <v>1712300110</v>
          </cell>
          <cell r="B534" t="str">
            <v>תברואה-משכ' ושכר משולבים</v>
          </cell>
          <cell r="C534">
            <v>476306</v>
          </cell>
          <cell r="D534">
            <v>514773</v>
          </cell>
          <cell r="E534">
            <v>375108.54</v>
          </cell>
        </row>
        <row r="535">
          <cell r="A535">
            <v>1712300430</v>
          </cell>
          <cell r="B535" t="str">
            <v>דחסן-צריכת מים</v>
          </cell>
          <cell r="C535">
            <v>10000</v>
          </cell>
          <cell r="D535">
            <v>10000</v>
          </cell>
          <cell r="E535">
            <v>0</v>
          </cell>
        </row>
        <row r="536">
          <cell r="A536">
            <v>1712300560</v>
          </cell>
          <cell r="B536" t="str">
            <v>ציוד משרדי</v>
          </cell>
          <cell r="C536">
            <v>2000</v>
          </cell>
          <cell r="D536">
            <v>2000</v>
          </cell>
          <cell r="E536">
            <v>1028.8</v>
          </cell>
        </row>
        <row r="537">
          <cell r="A537">
            <v>1712300740</v>
          </cell>
          <cell r="B537" t="str">
            <v>תברואה-ציוד</v>
          </cell>
          <cell r="C537">
            <v>3500</v>
          </cell>
          <cell r="D537">
            <v>3500</v>
          </cell>
          <cell r="E537">
            <v>348</v>
          </cell>
        </row>
        <row r="538">
          <cell r="A538">
            <v>1712300750</v>
          </cell>
          <cell r="B538" t="str">
            <v>קליטת אשפה-עברון</v>
          </cell>
          <cell r="C538">
            <v>6765000</v>
          </cell>
          <cell r="D538">
            <v>5450000</v>
          </cell>
          <cell r="E538">
            <v>4817618</v>
          </cell>
        </row>
        <row r="539">
          <cell r="A539">
            <v>1712300751</v>
          </cell>
          <cell r="B539" t="str">
            <v>איסוף ופנוי מכולות</v>
          </cell>
          <cell r="C539">
            <v>2016000</v>
          </cell>
          <cell r="D539">
            <v>1850000</v>
          </cell>
          <cell r="E539">
            <v>1398971</v>
          </cell>
        </row>
        <row r="540">
          <cell r="A540">
            <v>1712300752</v>
          </cell>
          <cell r="B540" t="str">
            <v>תחנת מעבר דחסן</v>
          </cell>
          <cell r="C540">
            <v>392000</v>
          </cell>
          <cell r="D540">
            <v>255000</v>
          </cell>
          <cell r="E540">
            <v>261752</v>
          </cell>
        </row>
        <row r="541">
          <cell r="A541">
            <v>1712300753</v>
          </cell>
          <cell r="B541" t="str">
            <v>איסוף ופינוי גזם</v>
          </cell>
          <cell r="C541">
            <v>1000000</v>
          </cell>
          <cell r="D541">
            <v>900000</v>
          </cell>
          <cell r="E541">
            <v>725236.04</v>
          </cell>
        </row>
        <row r="542">
          <cell r="A542">
            <v>1712300754</v>
          </cell>
          <cell r="B542" t="str">
            <v>אוספי אשפה</v>
          </cell>
          <cell r="C542">
            <v>240000</v>
          </cell>
          <cell r="D542">
            <v>210000</v>
          </cell>
          <cell r="E542">
            <v>124757</v>
          </cell>
        </row>
        <row r="543">
          <cell r="A543">
            <v>1712300755</v>
          </cell>
          <cell r="B543" t="str">
            <v>עובד דחסן</v>
          </cell>
          <cell r="C543">
            <v>90000</v>
          </cell>
          <cell r="D543">
            <v>80000</v>
          </cell>
          <cell r="E543">
            <v>46558</v>
          </cell>
        </row>
        <row r="544">
          <cell r="A544">
            <v>1712300756</v>
          </cell>
          <cell r="B544" t="str">
            <v>פינוי קרטונים</v>
          </cell>
          <cell r="C544">
            <v>0</v>
          </cell>
          <cell r="E544">
            <v>0</v>
          </cell>
        </row>
        <row r="545">
          <cell r="A545">
            <v>1712301731</v>
          </cell>
          <cell r="B545" t="str">
            <v>תברואה-דלק ושמנים 1700</v>
          </cell>
          <cell r="C545">
            <v>0</v>
          </cell>
          <cell r="E545">
            <v>1113</v>
          </cell>
        </row>
        <row r="546">
          <cell r="A546">
            <v>1712302731</v>
          </cell>
          <cell r="B546" t="str">
            <v>תברואה-דלק ושמנים 7600</v>
          </cell>
          <cell r="C546">
            <v>0</v>
          </cell>
          <cell r="E546">
            <v>0</v>
          </cell>
        </row>
        <row r="547">
          <cell r="A547">
            <v>1712303731</v>
          </cell>
          <cell r="B547" t="str">
            <v>תברואה-58-236-00</v>
          </cell>
          <cell r="C547">
            <v>40000</v>
          </cell>
          <cell r="D547">
            <v>45000</v>
          </cell>
          <cell r="E547">
            <v>24923.8</v>
          </cell>
        </row>
        <row r="548">
          <cell r="A548">
            <v>1712304731</v>
          </cell>
          <cell r="B548" t="str">
            <v>תברואה-58-865-00</v>
          </cell>
          <cell r="C548">
            <v>225000</v>
          </cell>
          <cell r="D548">
            <v>215000</v>
          </cell>
          <cell r="E548">
            <v>227618.24</v>
          </cell>
        </row>
        <row r="549">
          <cell r="A549">
            <v>1712305731</v>
          </cell>
          <cell r="B549" t="str">
            <v>טרקטור 5847868</v>
          </cell>
          <cell r="C549">
            <v>10000</v>
          </cell>
          <cell r="D549">
            <v>10000</v>
          </cell>
          <cell r="E549">
            <v>9195.8700000000008</v>
          </cell>
        </row>
        <row r="550">
          <cell r="A550">
            <v>1712306731</v>
          </cell>
          <cell r="B550" t="str">
            <v>מכסחת גינון 90455</v>
          </cell>
          <cell r="C550">
            <v>0</v>
          </cell>
          <cell r="D550">
            <v>4000</v>
          </cell>
          <cell r="E550">
            <v>0</v>
          </cell>
        </row>
        <row r="551">
          <cell r="A551">
            <v>1712307731</v>
          </cell>
          <cell r="B551" t="str">
            <v>תברואה-66-735-00</v>
          </cell>
          <cell r="C551">
            <v>4000</v>
          </cell>
          <cell r="D551">
            <v>4000</v>
          </cell>
          <cell r="E551">
            <v>3543</v>
          </cell>
        </row>
        <row r="552">
          <cell r="A552">
            <v>1712308731</v>
          </cell>
          <cell r="B552" t="str">
            <v>תברואה-דלק ושמנים 7400</v>
          </cell>
          <cell r="C552">
            <v>0</v>
          </cell>
          <cell r="E552">
            <v>0</v>
          </cell>
        </row>
        <row r="553">
          <cell r="A553">
            <v>1712309731</v>
          </cell>
          <cell r="B553" t="str">
            <v>איסוזו 3116075 - ליסינג</v>
          </cell>
          <cell r="C553">
            <v>80000</v>
          </cell>
          <cell r="D553">
            <v>40000</v>
          </cell>
          <cell r="E553">
            <v>60933.29</v>
          </cell>
        </row>
        <row r="554">
          <cell r="A554">
            <v>1712311731</v>
          </cell>
          <cell r="B554" t="str">
            <v>רכב 51-83915</v>
          </cell>
          <cell r="C554">
            <v>2000</v>
          </cell>
          <cell r="D554">
            <v>2000</v>
          </cell>
          <cell r="E554">
            <v>1077</v>
          </cell>
        </row>
        <row r="555">
          <cell r="A555">
            <v>1712312731</v>
          </cell>
          <cell r="B555" t="str">
            <v>משאית דחסן 8677515</v>
          </cell>
          <cell r="C555">
            <v>125000</v>
          </cell>
          <cell r="D555">
            <v>125000</v>
          </cell>
          <cell r="E555">
            <v>107377.72</v>
          </cell>
        </row>
        <row r="556">
          <cell r="A556">
            <v>1712314731</v>
          </cell>
          <cell r="B556" t="str">
            <v>משאית 63-937-68</v>
          </cell>
          <cell r="C556">
            <v>110000</v>
          </cell>
          <cell r="D556">
            <v>115000</v>
          </cell>
          <cell r="E556">
            <v>78714.789999999994</v>
          </cell>
        </row>
        <row r="557">
          <cell r="A557">
            <v>1712316731</v>
          </cell>
          <cell r="B557" t="str">
            <v>משאית 63-936-68</v>
          </cell>
          <cell r="C557">
            <v>110000</v>
          </cell>
          <cell r="D557">
            <v>115000</v>
          </cell>
          <cell r="E557">
            <v>85256.4</v>
          </cell>
        </row>
        <row r="558">
          <cell r="A558">
            <v>1712317731</v>
          </cell>
          <cell r="B558" t="str">
            <v>משאית 63-937-68</v>
          </cell>
          <cell r="C558">
            <v>0</v>
          </cell>
          <cell r="E558">
            <v>0</v>
          </cell>
        </row>
        <row r="559">
          <cell r="A559">
            <v>1712500731</v>
          </cell>
          <cell r="B559" t="str">
            <v>קטנוע 1064265</v>
          </cell>
          <cell r="C559">
            <v>10000</v>
          </cell>
          <cell r="D559">
            <v>12000</v>
          </cell>
          <cell r="E559">
            <v>3950.7</v>
          </cell>
        </row>
        <row r="560">
          <cell r="A560">
            <v>1712500750</v>
          </cell>
          <cell r="B560" t="str">
            <v>נקיון ע"ע</v>
          </cell>
          <cell r="C560">
            <v>1950000</v>
          </cell>
          <cell r="D560">
            <v>1950000</v>
          </cell>
          <cell r="E560">
            <v>1462500</v>
          </cell>
        </row>
        <row r="561">
          <cell r="A561">
            <v>1712500751</v>
          </cell>
          <cell r="B561" t="str">
            <v>אחזקת עיר עתיקה</v>
          </cell>
          <cell r="C561">
            <v>450000</v>
          </cell>
          <cell r="D561">
            <v>630000</v>
          </cell>
          <cell r="E561">
            <v>416471.88</v>
          </cell>
        </row>
        <row r="562">
          <cell r="A562">
            <v>1712501731</v>
          </cell>
          <cell r="B562" t="str">
            <v>הוצ' רכב שילדה 94-935-68</v>
          </cell>
          <cell r="C562">
            <v>31000</v>
          </cell>
          <cell r="D562">
            <v>26000</v>
          </cell>
          <cell r="E562">
            <v>36345.93</v>
          </cell>
        </row>
        <row r="563">
          <cell r="A563">
            <v>1712800731</v>
          </cell>
          <cell r="B563" t="str">
            <v>אופנוע סאן יאנג 48-288-70</v>
          </cell>
          <cell r="C563">
            <v>12000</v>
          </cell>
          <cell r="D563">
            <v>12000</v>
          </cell>
          <cell r="E563">
            <v>9127.9699999999993</v>
          </cell>
        </row>
        <row r="564">
          <cell r="A564">
            <v>1713000441</v>
          </cell>
          <cell r="B564" t="str">
            <v>השתתפות עצמית</v>
          </cell>
          <cell r="C564">
            <v>0</v>
          </cell>
          <cell r="E564">
            <v>0</v>
          </cell>
        </row>
        <row r="565">
          <cell r="A565">
            <v>1713000731</v>
          </cell>
          <cell r="B565" t="str">
            <v>גינון2572263-</v>
          </cell>
          <cell r="C565">
            <v>30000</v>
          </cell>
          <cell r="D565">
            <v>30000</v>
          </cell>
          <cell r="E565">
            <v>21293</v>
          </cell>
        </row>
        <row r="566">
          <cell r="A566">
            <v>1713200110</v>
          </cell>
          <cell r="B566" t="str">
            <v>משכורת ושכר משולבים</v>
          </cell>
          <cell r="C566">
            <v>764295</v>
          </cell>
          <cell r="D566">
            <v>706091</v>
          </cell>
          <cell r="E566">
            <v>552676.61</v>
          </cell>
        </row>
        <row r="567">
          <cell r="A567">
            <v>1714000110</v>
          </cell>
          <cell r="B567" t="str">
            <v>משכורת וטרינר</v>
          </cell>
          <cell r="C567">
            <v>787422</v>
          </cell>
          <cell r="D567">
            <v>851918</v>
          </cell>
          <cell r="E567">
            <v>553494.57999999996</v>
          </cell>
        </row>
        <row r="568">
          <cell r="A568">
            <v>1714000210</v>
          </cell>
          <cell r="B568" t="str">
            <v>משכורת וטרינר</v>
          </cell>
          <cell r="C568">
            <v>0</v>
          </cell>
          <cell r="E568">
            <v>1855.7</v>
          </cell>
        </row>
        <row r="569">
          <cell r="A569">
            <v>1714200560</v>
          </cell>
          <cell r="B569" t="str">
            <v>תברואה -הוצ' משרדיות</v>
          </cell>
          <cell r="C569">
            <v>500</v>
          </cell>
          <cell r="D569">
            <v>500</v>
          </cell>
          <cell r="E569">
            <v>0</v>
          </cell>
        </row>
        <row r="570">
          <cell r="A570">
            <v>1714200580</v>
          </cell>
          <cell r="B570" t="str">
            <v>תברואה-הוצ' אחרות)כלבת</v>
          </cell>
          <cell r="C570">
            <v>100000</v>
          </cell>
          <cell r="D570">
            <v>200000</v>
          </cell>
          <cell r="E570">
            <v>91980.800000000003</v>
          </cell>
        </row>
        <row r="571">
          <cell r="A571">
            <v>1714200720</v>
          </cell>
          <cell r="B571" t="str">
            <v>חמרים</v>
          </cell>
          <cell r="C571">
            <v>50000</v>
          </cell>
          <cell r="D571">
            <v>49500</v>
          </cell>
          <cell r="E571">
            <v>26293.73</v>
          </cell>
        </row>
        <row r="572">
          <cell r="A572">
            <v>1714200731</v>
          </cell>
          <cell r="B572" t="str">
            <v>וטרינר7017917-</v>
          </cell>
          <cell r="C572">
            <v>30000</v>
          </cell>
          <cell r="D572">
            <v>30000</v>
          </cell>
          <cell r="E572">
            <v>26200.42</v>
          </cell>
        </row>
        <row r="573">
          <cell r="A573">
            <v>1714200742</v>
          </cell>
          <cell r="B573" t="str">
            <v>תברואה-כלים מכשירים וציוד</v>
          </cell>
          <cell r="C573">
            <v>0</v>
          </cell>
          <cell r="E573">
            <v>0</v>
          </cell>
        </row>
        <row r="574">
          <cell r="A574">
            <v>1714200781</v>
          </cell>
          <cell r="B574" t="str">
            <v>לכידת סוסים</v>
          </cell>
          <cell r="C574">
            <v>8000</v>
          </cell>
          <cell r="D574">
            <v>8000</v>
          </cell>
          <cell r="E574">
            <v>0</v>
          </cell>
        </row>
        <row r="575">
          <cell r="A575">
            <v>1714300731</v>
          </cell>
          <cell r="B575" t="str">
            <v>נגרר 9183714</v>
          </cell>
          <cell r="C575">
            <v>1000</v>
          </cell>
          <cell r="D575">
            <v>1500</v>
          </cell>
          <cell r="E575">
            <v>839</v>
          </cell>
        </row>
        <row r="576">
          <cell r="A576">
            <v>1714300750</v>
          </cell>
          <cell r="B576" t="str">
            <v>ע.קבלניות לכידת כלבים</v>
          </cell>
          <cell r="C576">
            <v>105000</v>
          </cell>
          <cell r="D576">
            <v>105000</v>
          </cell>
          <cell r="E576">
            <v>73312</v>
          </cell>
        </row>
        <row r="577">
          <cell r="A577">
            <v>1714300830</v>
          </cell>
          <cell r="B577" t="str">
            <v>א.ע. תחנת הסגר כלבים</v>
          </cell>
          <cell r="C577">
            <v>45000</v>
          </cell>
          <cell r="D577">
            <v>43000</v>
          </cell>
          <cell r="E577">
            <v>48113</v>
          </cell>
        </row>
        <row r="578">
          <cell r="A578">
            <v>1715200110</v>
          </cell>
          <cell r="B578" t="str">
            <v>משכורת ושכר משולבים</v>
          </cell>
          <cell r="C578">
            <v>271966</v>
          </cell>
          <cell r="D578">
            <v>243556</v>
          </cell>
          <cell r="E578">
            <v>193133.83</v>
          </cell>
        </row>
        <row r="579">
          <cell r="A579">
            <v>1715200720</v>
          </cell>
          <cell r="B579" t="str">
            <v>חמרים</v>
          </cell>
          <cell r="C579">
            <v>90000</v>
          </cell>
          <cell r="D579">
            <v>90000</v>
          </cell>
          <cell r="E579">
            <v>76551.92</v>
          </cell>
        </row>
        <row r="580">
          <cell r="A580">
            <v>1715300750</v>
          </cell>
          <cell r="B580" t="str">
            <v>עבודות קבלניות-הדברות</v>
          </cell>
          <cell r="C580">
            <v>65000</v>
          </cell>
          <cell r="D580">
            <v>50000</v>
          </cell>
          <cell r="E580">
            <v>33408</v>
          </cell>
        </row>
        <row r="581">
          <cell r="A581">
            <v>1720000399</v>
          </cell>
          <cell r="B581" t="str">
            <v>הפרשה לדמי הבראה ומענק</v>
          </cell>
          <cell r="C581">
            <v>0</v>
          </cell>
          <cell r="E581">
            <v>0</v>
          </cell>
        </row>
        <row r="582">
          <cell r="A582">
            <v>1721000110</v>
          </cell>
          <cell r="B582" t="str">
            <v>משכ.מינהל שמירה ובטחון</v>
          </cell>
          <cell r="C582">
            <v>323980</v>
          </cell>
          <cell r="D582">
            <v>272854</v>
          </cell>
          <cell r="E582">
            <v>245353.11</v>
          </cell>
        </row>
        <row r="583">
          <cell r="A583">
            <v>1722000110</v>
          </cell>
          <cell r="B583" t="str">
            <v>משכורת ושכר משולבים</v>
          </cell>
          <cell r="C583">
            <v>173243</v>
          </cell>
          <cell r="D583">
            <v>149175</v>
          </cell>
          <cell r="E583">
            <v>108531.15</v>
          </cell>
        </row>
        <row r="584">
          <cell r="A584">
            <v>1722000210</v>
          </cell>
          <cell r="B584" t="str">
            <v>משכורות שמירה וביטחון</v>
          </cell>
          <cell r="C584">
            <v>211682</v>
          </cell>
          <cell r="D584">
            <v>350000</v>
          </cell>
          <cell r="E584">
            <v>219282.29</v>
          </cell>
        </row>
        <row r="585">
          <cell r="A585">
            <v>1722000430</v>
          </cell>
          <cell r="B585" t="str">
            <v>אחזקת בסיסים</v>
          </cell>
          <cell r="C585">
            <v>45500</v>
          </cell>
          <cell r="D585">
            <v>45000</v>
          </cell>
          <cell r="E585">
            <v>45450</v>
          </cell>
        </row>
        <row r="586">
          <cell r="A586">
            <v>1722000511</v>
          </cell>
          <cell r="B586" t="str">
            <v>הוצאות כבוד</v>
          </cell>
          <cell r="C586">
            <v>9100</v>
          </cell>
          <cell r="D586">
            <v>9100</v>
          </cell>
          <cell r="E586">
            <v>2696.91</v>
          </cell>
        </row>
        <row r="587">
          <cell r="A587">
            <v>1722000540</v>
          </cell>
          <cell r="B587" t="str">
            <v>תקשורת מוקד</v>
          </cell>
          <cell r="C587">
            <v>150000</v>
          </cell>
          <cell r="D587">
            <v>150000</v>
          </cell>
          <cell r="E587">
            <v>118420.8</v>
          </cell>
        </row>
        <row r="588">
          <cell r="A588">
            <v>1722000550</v>
          </cell>
          <cell r="B588" t="str">
            <v>פרסום, טיפוח מתנדב</v>
          </cell>
          <cell r="C588">
            <v>9100</v>
          </cell>
          <cell r="D588">
            <v>9100</v>
          </cell>
          <cell r="E588">
            <v>160.09</v>
          </cell>
        </row>
        <row r="589">
          <cell r="A589">
            <v>1722000731</v>
          </cell>
          <cell r="B589" t="str">
            <v>מיציבושי 78-216-78</v>
          </cell>
          <cell r="C589">
            <v>80000</v>
          </cell>
          <cell r="D589">
            <v>75000</v>
          </cell>
          <cell r="E589">
            <v>78452.320000000007</v>
          </cell>
        </row>
        <row r="590">
          <cell r="A590">
            <v>1722000732</v>
          </cell>
          <cell r="B590" t="str">
            <v>רכב</v>
          </cell>
          <cell r="C590">
            <v>0</v>
          </cell>
          <cell r="E590">
            <v>0</v>
          </cell>
        </row>
        <row r="591">
          <cell r="A591">
            <v>1722000733</v>
          </cell>
          <cell r="B591" t="str">
            <v>רכב</v>
          </cell>
          <cell r="C591">
            <v>0</v>
          </cell>
          <cell r="E591">
            <v>0</v>
          </cell>
        </row>
        <row r="592">
          <cell r="A592">
            <v>1722000750</v>
          </cell>
          <cell r="B592" t="str">
            <v>אבטחת אירועים</v>
          </cell>
          <cell r="C592">
            <v>200000</v>
          </cell>
          <cell r="D592">
            <v>200000</v>
          </cell>
          <cell r="E592">
            <v>100900</v>
          </cell>
        </row>
        <row r="593">
          <cell r="A593">
            <v>1722000751</v>
          </cell>
          <cell r="B593" t="str">
            <v>הפעלת מוקד רמה א</v>
          </cell>
          <cell r="C593">
            <v>70000</v>
          </cell>
          <cell r="D593">
            <v>70000</v>
          </cell>
          <cell r="E593">
            <v>55150</v>
          </cell>
        </row>
        <row r="594">
          <cell r="A594">
            <v>1722000752</v>
          </cell>
          <cell r="B594" t="str">
            <v>הפעלת מצלמות</v>
          </cell>
          <cell r="C594">
            <v>260299</v>
          </cell>
          <cell r="D594">
            <v>260299</v>
          </cell>
          <cell r="E594">
            <v>3100</v>
          </cell>
        </row>
        <row r="595">
          <cell r="A595">
            <v>1722000810</v>
          </cell>
          <cell r="B595" t="str">
            <v>עיר ללא אלימות</v>
          </cell>
          <cell r="C595">
            <v>0</v>
          </cell>
          <cell r="E595">
            <v>0</v>
          </cell>
        </row>
        <row r="596">
          <cell r="A596">
            <v>1722000811</v>
          </cell>
          <cell r="B596" t="str">
            <v>עיר ללא אלימות-פר 17.1</v>
          </cell>
          <cell r="C596">
            <v>0</v>
          </cell>
          <cell r="E596">
            <v>0</v>
          </cell>
        </row>
        <row r="597">
          <cell r="A597">
            <v>1722000910</v>
          </cell>
          <cell r="B597" t="str">
            <v>עיר ללא אלימות</v>
          </cell>
          <cell r="C597">
            <v>41257</v>
          </cell>
          <cell r="D597">
            <v>41257</v>
          </cell>
          <cell r="E597">
            <v>31556</v>
          </cell>
        </row>
        <row r="598">
          <cell r="A598">
            <v>1722000930</v>
          </cell>
          <cell r="B598" t="str">
            <v>ציוד משרדי משא"ז</v>
          </cell>
          <cell r="C598">
            <v>9500</v>
          </cell>
          <cell r="D598">
            <v>9500</v>
          </cell>
          <cell r="E598">
            <v>0</v>
          </cell>
        </row>
        <row r="599">
          <cell r="A599">
            <v>1722000980</v>
          </cell>
          <cell r="B599" t="str">
            <v>הוצאות אחרות</v>
          </cell>
          <cell r="C599">
            <v>5000</v>
          </cell>
          <cell r="D599">
            <v>4400</v>
          </cell>
          <cell r="E599">
            <v>4635.95</v>
          </cell>
        </row>
        <row r="600">
          <cell r="A600">
            <v>1722001731</v>
          </cell>
          <cell r="B600" t="str">
            <v>אופנוע 34-839-61</v>
          </cell>
          <cell r="C600">
            <v>18000</v>
          </cell>
          <cell r="D600">
            <v>20000</v>
          </cell>
          <cell r="E600">
            <v>9780.16</v>
          </cell>
        </row>
        <row r="601">
          <cell r="A601">
            <v>1722002731</v>
          </cell>
          <cell r="B601" t="str">
            <v>הוצ' רכב 78-819-78</v>
          </cell>
          <cell r="C601">
            <v>90000</v>
          </cell>
          <cell r="D601">
            <v>90000</v>
          </cell>
          <cell r="E601">
            <v>61263.040000000001</v>
          </cell>
        </row>
        <row r="602">
          <cell r="A602">
            <v>1722003731</v>
          </cell>
          <cell r="B602" t="str">
            <v>הוצ' רכב 78-820-78</v>
          </cell>
          <cell r="C602">
            <v>85000</v>
          </cell>
          <cell r="D602">
            <v>85000</v>
          </cell>
          <cell r="E602">
            <v>100904.51</v>
          </cell>
        </row>
        <row r="603">
          <cell r="A603">
            <v>1722004731</v>
          </cell>
          <cell r="B603" t="str">
            <v>הוצ' קטנוע 10-357-65</v>
          </cell>
          <cell r="C603">
            <v>15000</v>
          </cell>
          <cell r="D603">
            <v>15000</v>
          </cell>
          <cell r="E603">
            <v>15161</v>
          </cell>
        </row>
        <row r="604">
          <cell r="A604">
            <v>1722005731</v>
          </cell>
          <cell r="B604" t="str">
            <v>הוצ' קטנוע 10-358-65</v>
          </cell>
          <cell r="C604">
            <v>15000</v>
          </cell>
          <cell r="D604">
            <v>15000</v>
          </cell>
          <cell r="E604">
            <v>12532</v>
          </cell>
        </row>
        <row r="605">
          <cell r="A605">
            <v>1722006731</v>
          </cell>
          <cell r="B605" t="str">
            <v>הוצ' קטנוע 10-359-65</v>
          </cell>
          <cell r="C605">
            <v>15000</v>
          </cell>
          <cell r="D605">
            <v>15000</v>
          </cell>
          <cell r="E605">
            <v>15392.01</v>
          </cell>
        </row>
        <row r="606">
          <cell r="A606">
            <v>1722007731</v>
          </cell>
          <cell r="B606" t="str">
            <v>טויוטה 35-596-56</v>
          </cell>
          <cell r="C606">
            <v>0</v>
          </cell>
          <cell r="E606">
            <v>0</v>
          </cell>
        </row>
        <row r="607">
          <cell r="A607">
            <v>1722100750</v>
          </cell>
          <cell r="B607" t="str">
            <v>אבטחת נבחרי ציבור</v>
          </cell>
          <cell r="C607">
            <v>0</v>
          </cell>
          <cell r="E607">
            <v>0</v>
          </cell>
        </row>
        <row r="608">
          <cell r="A608">
            <v>1722100780</v>
          </cell>
          <cell r="B608" t="str">
            <v>הוצאות אחרות</v>
          </cell>
          <cell r="C608">
            <v>2100</v>
          </cell>
          <cell r="D608">
            <v>2100</v>
          </cell>
          <cell r="E608">
            <v>2826.98</v>
          </cell>
        </row>
        <row r="609">
          <cell r="A609">
            <v>1723000110</v>
          </cell>
          <cell r="B609" t="str">
            <v>משכורת ושכר משולבי</v>
          </cell>
          <cell r="C609">
            <v>243565</v>
          </cell>
          <cell r="D609">
            <v>211876</v>
          </cell>
          <cell r="E609">
            <v>173515.57</v>
          </cell>
        </row>
        <row r="610">
          <cell r="A610">
            <v>1723000420</v>
          </cell>
          <cell r="B610" t="str">
            <v>אחזקת מקלטים ציבוריים</v>
          </cell>
          <cell r="C610">
            <v>50000</v>
          </cell>
          <cell r="D610">
            <v>50000</v>
          </cell>
          <cell r="E610">
            <v>15963.15</v>
          </cell>
        </row>
        <row r="611">
          <cell r="A611">
            <v>1723000430</v>
          </cell>
          <cell r="B611" t="str">
            <v>הג"א-הוצ' חשמל</v>
          </cell>
          <cell r="C611">
            <v>15000</v>
          </cell>
          <cell r="D611">
            <v>9500</v>
          </cell>
          <cell r="E611">
            <v>15467.79</v>
          </cell>
        </row>
        <row r="612">
          <cell r="A612">
            <v>1723000750</v>
          </cell>
          <cell r="B612" t="str">
            <v>עבודות קבלניות</v>
          </cell>
          <cell r="C612">
            <v>4300</v>
          </cell>
          <cell r="D612">
            <v>4300</v>
          </cell>
          <cell r="E612">
            <v>2599</v>
          </cell>
        </row>
        <row r="613">
          <cell r="A613">
            <v>1723000810</v>
          </cell>
          <cell r="B613" t="str">
            <v>הג"א</v>
          </cell>
          <cell r="C613">
            <v>240000</v>
          </cell>
          <cell r="D613">
            <v>220000</v>
          </cell>
          <cell r="E613">
            <v>235194.06</v>
          </cell>
        </row>
        <row r="614">
          <cell r="A614">
            <v>1723000910</v>
          </cell>
          <cell r="B614" t="str">
            <v>השתתפות בתקציב בלתי רגיל</v>
          </cell>
          <cell r="C614">
            <v>10000</v>
          </cell>
          <cell r="D614">
            <v>10000</v>
          </cell>
          <cell r="E614">
            <v>0</v>
          </cell>
        </row>
        <row r="615">
          <cell r="A615">
            <v>1723100810</v>
          </cell>
          <cell r="B615" t="str">
            <v>הג"א מרחבי</v>
          </cell>
          <cell r="C615">
            <v>35000</v>
          </cell>
          <cell r="D615">
            <v>35000</v>
          </cell>
          <cell r="E615">
            <v>33500</v>
          </cell>
        </row>
        <row r="616">
          <cell r="A616">
            <v>1724000731</v>
          </cell>
          <cell r="B616" t="str">
            <v>הוצ.רכב 71-712-75 ליסינג</v>
          </cell>
          <cell r="C616">
            <v>0</v>
          </cell>
          <cell r="E616">
            <v>139.05000000000001</v>
          </cell>
        </row>
        <row r="617">
          <cell r="A617">
            <v>1724000830</v>
          </cell>
          <cell r="B617" t="str">
            <v>השתתפות באגוד ערים</v>
          </cell>
          <cell r="C617">
            <v>1380000</v>
          </cell>
          <cell r="D617">
            <v>1338000</v>
          </cell>
          <cell r="E617">
            <v>1374830.6</v>
          </cell>
        </row>
        <row r="618">
          <cell r="A618">
            <v>1726100110</v>
          </cell>
          <cell r="B618" t="str">
            <v>משכורת ושכר משולבים</v>
          </cell>
          <cell r="C618">
            <v>194600</v>
          </cell>
          <cell r="D618">
            <v>184837</v>
          </cell>
          <cell r="E618">
            <v>143671.32999999999</v>
          </cell>
        </row>
        <row r="619">
          <cell r="A619">
            <v>1729000910</v>
          </cell>
          <cell r="B619" t="str">
            <v>כיסוי הוצאות לשעת חרום</v>
          </cell>
          <cell r="C619">
            <v>0</v>
          </cell>
          <cell r="E619">
            <v>0</v>
          </cell>
        </row>
        <row r="620">
          <cell r="A620">
            <v>1730000399</v>
          </cell>
          <cell r="B620" t="str">
            <v>הפרשה לדמי הבראה ומענק</v>
          </cell>
          <cell r="C620">
            <v>0</v>
          </cell>
          <cell r="E620">
            <v>0</v>
          </cell>
        </row>
        <row r="621">
          <cell r="A621">
            <v>1731000110</v>
          </cell>
          <cell r="B621" t="str">
            <v>הנדסה-משכ' ושכר משולבים</v>
          </cell>
          <cell r="C621">
            <v>1888115</v>
          </cell>
          <cell r="D621">
            <v>1752674</v>
          </cell>
          <cell r="E621">
            <v>1276038.01</v>
          </cell>
        </row>
        <row r="622">
          <cell r="A622">
            <v>1731000440</v>
          </cell>
          <cell r="B622" t="str">
            <v>הנדסה - ביטוח</v>
          </cell>
          <cell r="C622">
            <v>70200</v>
          </cell>
          <cell r="D622">
            <v>70200</v>
          </cell>
          <cell r="E622">
            <v>0</v>
          </cell>
        </row>
        <row r="623">
          <cell r="A623">
            <v>1731000450</v>
          </cell>
          <cell r="B623" t="str">
            <v>הנדסה-רהוט ואחזקתו</v>
          </cell>
          <cell r="C623">
            <v>1000</v>
          </cell>
          <cell r="D623">
            <v>1000</v>
          </cell>
          <cell r="E623">
            <v>1099.98</v>
          </cell>
        </row>
        <row r="624">
          <cell r="A624">
            <v>1731000470</v>
          </cell>
          <cell r="B624" t="str">
            <v>הנדסה-ציוד משרדי מתכלה</v>
          </cell>
          <cell r="C624">
            <v>0</v>
          </cell>
          <cell r="E624">
            <v>0</v>
          </cell>
        </row>
        <row r="625">
          <cell r="A625">
            <v>1731000511</v>
          </cell>
          <cell r="B625" t="str">
            <v>הנדסה-כיבודים</v>
          </cell>
          <cell r="C625">
            <v>2600</v>
          </cell>
          <cell r="D625">
            <v>2600</v>
          </cell>
          <cell r="E625">
            <v>1441.56</v>
          </cell>
        </row>
        <row r="626">
          <cell r="A626">
            <v>1731000512</v>
          </cell>
          <cell r="B626" t="str">
            <v>הנדסה-נסיעות וחניה</v>
          </cell>
          <cell r="C626">
            <v>1000</v>
          </cell>
          <cell r="D626">
            <v>1000</v>
          </cell>
          <cell r="E626">
            <v>999.91</v>
          </cell>
        </row>
        <row r="627">
          <cell r="A627">
            <v>1731000520</v>
          </cell>
          <cell r="B627" t="str">
            <v>ספרים ועתונים</v>
          </cell>
          <cell r="C627">
            <v>2200</v>
          </cell>
          <cell r="D627">
            <v>2200</v>
          </cell>
          <cell r="E627">
            <v>416</v>
          </cell>
        </row>
        <row r="628">
          <cell r="A628">
            <v>1731000521</v>
          </cell>
          <cell r="B628" t="str">
            <v>השתלמויות</v>
          </cell>
          <cell r="C628">
            <v>8815</v>
          </cell>
          <cell r="D628">
            <v>8815</v>
          </cell>
          <cell r="E628">
            <v>6686</v>
          </cell>
        </row>
        <row r="629">
          <cell r="A629">
            <v>1731000522</v>
          </cell>
          <cell r="B629" t="str">
            <v>הנדסה-ספרות מקצועית</v>
          </cell>
          <cell r="C629">
            <v>2500</v>
          </cell>
          <cell r="D629">
            <v>2500</v>
          </cell>
          <cell r="E629">
            <v>1810</v>
          </cell>
        </row>
        <row r="630">
          <cell r="A630">
            <v>1731000523</v>
          </cell>
          <cell r="B630" t="str">
            <v>הנדסה-דמי חבר בארגונים</v>
          </cell>
          <cell r="C630">
            <v>1600</v>
          </cell>
          <cell r="D630">
            <v>1600</v>
          </cell>
          <cell r="E630">
            <v>1600</v>
          </cell>
        </row>
        <row r="631">
          <cell r="A631">
            <v>1731000530</v>
          </cell>
          <cell r="B631" t="str">
            <v>הוצאות רכב 73-953-72 ליס</v>
          </cell>
          <cell r="C631">
            <v>69000</v>
          </cell>
          <cell r="D631">
            <v>69000</v>
          </cell>
          <cell r="E631">
            <v>53449.3</v>
          </cell>
        </row>
        <row r="632">
          <cell r="A632">
            <v>1731000540</v>
          </cell>
          <cell r="B632" t="str">
            <v>הנדסה דואר</v>
          </cell>
          <cell r="C632">
            <v>200</v>
          </cell>
          <cell r="D632">
            <v>200</v>
          </cell>
          <cell r="E632">
            <v>0</v>
          </cell>
        </row>
        <row r="633">
          <cell r="A633">
            <v>1731000550</v>
          </cell>
          <cell r="B633" t="str">
            <v>הנדסה-פרסומים</v>
          </cell>
          <cell r="C633">
            <v>4000</v>
          </cell>
          <cell r="D633">
            <v>4000</v>
          </cell>
          <cell r="E633">
            <v>4404.5200000000004</v>
          </cell>
        </row>
        <row r="634">
          <cell r="A634">
            <v>1731000560</v>
          </cell>
          <cell r="B634" t="str">
            <v>הנדסה-הוצ' משרדיות</v>
          </cell>
          <cell r="C634">
            <v>16500</v>
          </cell>
          <cell r="D634">
            <v>16500</v>
          </cell>
          <cell r="E634">
            <v>14246.37</v>
          </cell>
        </row>
        <row r="635">
          <cell r="A635">
            <v>1731000570</v>
          </cell>
          <cell r="B635" t="str">
            <v>הנדסה-מיכון ועיבוד נתונים</v>
          </cell>
          <cell r="C635">
            <v>30000</v>
          </cell>
          <cell r="D635">
            <v>30000</v>
          </cell>
          <cell r="E635">
            <v>30297.279999999999</v>
          </cell>
        </row>
        <row r="636">
          <cell r="A636">
            <v>1731000580</v>
          </cell>
          <cell r="B636" t="str">
            <v>הנדסה-הוצ' אחרות</v>
          </cell>
          <cell r="C636">
            <v>0</v>
          </cell>
          <cell r="E636">
            <v>170</v>
          </cell>
        </row>
        <row r="637">
          <cell r="A637">
            <v>1731000720</v>
          </cell>
          <cell r="B637" t="str">
            <v>הנדסה-חומרים</v>
          </cell>
          <cell r="C637">
            <v>0</v>
          </cell>
          <cell r="E637">
            <v>0</v>
          </cell>
        </row>
        <row r="638">
          <cell r="A638">
            <v>1731000740</v>
          </cell>
          <cell r="B638" t="str">
            <v>הנדסה-כלים מכשירים וציוד</v>
          </cell>
          <cell r="C638">
            <v>0</v>
          </cell>
          <cell r="E638">
            <v>0</v>
          </cell>
        </row>
        <row r="639">
          <cell r="A639">
            <v>1731000750</v>
          </cell>
          <cell r="B639" t="str">
            <v>הנדסה-עבודות קבלניות</v>
          </cell>
          <cell r="C639">
            <v>14500</v>
          </cell>
          <cell r="D639">
            <v>14500</v>
          </cell>
          <cell r="E639">
            <v>5382.5</v>
          </cell>
        </row>
        <row r="640">
          <cell r="A640">
            <v>1731000760</v>
          </cell>
          <cell r="B640" t="str">
            <v>קניית שירותים ממוסדות</v>
          </cell>
          <cell r="C640">
            <v>37000</v>
          </cell>
          <cell r="D640">
            <v>37000</v>
          </cell>
          <cell r="E640">
            <v>19369.580000000002</v>
          </cell>
        </row>
        <row r="641">
          <cell r="A641">
            <v>1731000780</v>
          </cell>
          <cell r="B641" t="str">
            <v>הנדסה-שונות</v>
          </cell>
          <cell r="C641">
            <v>148000</v>
          </cell>
          <cell r="D641">
            <v>148000</v>
          </cell>
          <cell r="E641">
            <v>76427.710000000006</v>
          </cell>
        </row>
        <row r="642">
          <cell r="A642">
            <v>1731000910</v>
          </cell>
          <cell r="B642" t="str">
            <v>השתתפות בתקציב בלתי רגיל</v>
          </cell>
          <cell r="C642">
            <v>1185</v>
          </cell>
          <cell r="D642">
            <v>1185</v>
          </cell>
          <cell r="E642">
            <v>1185</v>
          </cell>
        </row>
        <row r="643">
          <cell r="A643">
            <v>1731000930</v>
          </cell>
          <cell r="B643" t="str">
            <v>הנדסה-רכישת ציוד יסודי</v>
          </cell>
          <cell r="C643">
            <v>5000</v>
          </cell>
          <cell r="D643">
            <v>5000</v>
          </cell>
          <cell r="E643">
            <v>1861.4</v>
          </cell>
        </row>
        <row r="644">
          <cell r="A644">
            <v>1731100530</v>
          </cell>
          <cell r="B644" t="str">
            <v>רכב 87-836-72</v>
          </cell>
          <cell r="C644">
            <v>69000</v>
          </cell>
          <cell r="E644">
            <v>0</v>
          </cell>
        </row>
        <row r="645">
          <cell r="A645">
            <v>1731100731</v>
          </cell>
          <cell r="B645" t="str">
            <v>אופנוע 51-425-13</v>
          </cell>
          <cell r="C645">
            <v>6000</v>
          </cell>
          <cell r="D645">
            <v>5500</v>
          </cell>
          <cell r="E645">
            <v>0</v>
          </cell>
        </row>
        <row r="646">
          <cell r="A646">
            <v>1732000110</v>
          </cell>
          <cell r="B646" t="str">
            <v>הנדסה-משכ' ושכר משולבים</v>
          </cell>
          <cell r="C646">
            <v>246035</v>
          </cell>
          <cell r="D646">
            <v>232169</v>
          </cell>
          <cell r="E646">
            <v>172700.42</v>
          </cell>
        </row>
        <row r="647">
          <cell r="A647">
            <v>1732000560</v>
          </cell>
          <cell r="B647" t="str">
            <v>הנדסה-הוצ' משרדיות</v>
          </cell>
          <cell r="C647">
            <v>2000</v>
          </cell>
          <cell r="D647">
            <v>2000</v>
          </cell>
          <cell r="E647">
            <v>171.37</v>
          </cell>
        </row>
        <row r="648">
          <cell r="A648">
            <v>1732000750</v>
          </cell>
          <cell r="B648" t="str">
            <v>הנדסה-עבודות קבלניות</v>
          </cell>
          <cell r="C648">
            <v>13000</v>
          </cell>
          <cell r="D648">
            <v>13000</v>
          </cell>
          <cell r="E648">
            <v>0</v>
          </cell>
        </row>
        <row r="649">
          <cell r="A649">
            <v>1732000780</v>
          </cell>
          <cell r="B649" t="str">
            <v>הנדסה-שונות</v>
          </cell>
          <cell r="C649">
            <v>62200</v>
          </cell>
          <cell r="D649">
            <v>62200</v>
          </cell>
          <cell r="E649">
            <v>1560</v>
          </cell>
        </row>
        <row r="650">
          <cell r="A650">
            <v>1732000950</v>
          </cell>
          <cell r="B650" t="str">
            <v>הוצאות תכנון</v>
          </cell>
          <cell r="C650">
            <v>13000</v>
          </cell>
          <cell r="D650">
            <v>13000</v>
          </cell>
          <cell r="E650">
            <v>0</v>
          </cell>
        </row>
        <row r="651">
          <cell r="A651">
            <v>1733100110</v>
          </cell>
          <cell r="B651" t="str">
            <v>הנדסה-משכ'ושכר משולבים</v>
          </cell>
          <cell r="C651">
            <v>1328974</v>
          </cell>
          <cell r="D651">
            <v>1106358</v>
          </cell>
          <cell r="E651">
            <v>919798.82</v>
          </cell>
        </row>
        <row r="652">
          <cell r="A652">
            <v>1733100560</v>
          </cell>
          <cell r="B652" t="str">
            <v>הנדסה-הוצ' משרדיות</v>
          </cell>
          <cell r="C652">
            <v>4500</v>
          </cell>
          <cell r="D652">
            <v>4500</v>
          </cell>
          <cell r="E652">
            <v>1582</v>
          </cell>
        </row>
        <row r="653">
          <cell r="A653">
            <v>1733100731</v>
          </cell>
          <cell r="B653" t="str">
            <v>הוצ' קטנוע 51-425-13</v>
          </cell>
          <cell r="C653">
            <v>0</v>
          </cell>
          <cell r="E653">
            <v>4417.41</v>
          </cell>
        </row>
        <row r="654">
          <cell r="A654">
            <v>1733100750</v>
          </cell>
          <cell r="B654" t="str">
            <v>הנדסה-עבודות קבלניות</v>
          </cell>
          <cell r="C654">
            <v>0</v>
          </cell>
          <cell r="E654">
            <v>0</v>
          </cell>
        </row>
        <row r="655">
          <cell r="A655">
            <v>1733100780</v>
          </cell>
          <cell r="B655" t="str">
            <v>הנדסה-שונות</v>
          </cell>
          <cell r="C655">
            <v>2300</v>
          </cell>
          <cell r="D655">
            <v>2300</v>
          </cell>
          <cell r="E655">
            <v>357.47</v>
          </cell>
        </row>
        <row r="656">
          <cell r="A656">
            <v>1733100930</v>
          </cell>
          <cell r="B656" t="str">
            <v>הנדסה-רכישת ציוד יסודי</v>
          </cell>
          <cell r="C656">
            <v>5000</v>
          </cell>
          <cell r="D656">
            <v>5000</v>
          </cell>
          <cell r="E656">
            <v>0</v>
          </cell>
        </row>
        <row r="657">
          <cell r="A657">
            <v>1733200780</v>
          </cell>
          <cell r="B657" t="str">
            <v>הוצאות אחרות</v>
          </cell>
          <cell r="C657">
            <v>6000</v>
          </cell>
          <cell r="D657">
            <v>6000</v>
          </cell>
          <cell r="E657">
            <v>1950</v>
          </cell>
        </row>
        <row r="658">
          <cell r="A658">
            <v>1740000399</v>
          </cell>
          <cell r="B658" t="str">
            <v>הפרשה לדמי הבראה ומענק</v>
          </cell>
          <cell r="C658">
            <v>0</v>
          </cell>
          <cell r="E658">
            <v>0</v>
          </cell>
        </row>
        <row r="659">
          <cell r="A659">
            <v>1741000110</v>
          </cell>
          <cell r="B659" t="str">
            <v>משכורת-ושכר משולבים</v>
          </cell>
          <cell r="C659">
            <v>0</v>
          </cell>
          <cell r="E659">
            <v>0</v>
          </cell>
        </row>
        <row r="660">
          <cell r="A660">
            <v>1741000750</v>
          </cell>
          <cell r="B660" t="str">
            <v>עבודות קבלניו</v>
          </cell>
          <cell r="C660">
            <v>100000</v>
          </cell>
          <cell r="D660">
            <v>100000</v>
          </cell>
          <cell r="E660">
            <v>0</v>
          </cell>
        </row>
        <row r="661">
          <cell r="A661">
            <v>1741000780</v>
          </cell>
          <cell r="B661" t="str">
            <v>שונות</v>
          </cell>
          <cell r="C661">
            <v>0</v>
          </cell>
          <cell r="E661">
            <v>0</v>
          </cell>
        </row>
        <row r="662">
          <cell r="A662">
            <v>1742000440</v>
          </cell>
          <cell r="B662" t="str">
            <v>ביטוח</v>
          </cell>
          <cell r="C662">
            <v>11010</v>
          </cell>
          <cell r="D662">
            <v>6542</v>
          </cell>
          <cell r="E662">
            <v>5505</v>
          </cell>
        </row>
        <row r="663">
          <cell r="A663">
            <v>1742000560</v>
          </cell>
          <cell r="B663" t="str">
            <v>הנדסה-הוצ' משרדיות</v>
          </cell>
          <cell r="C663">
            <v>3000</v>
          </cell>
          <cell r="D663">
            <v>3000</v>
          </cell>
          <cell r="E663">
            <v>0</v>
          </cell>
        </row>
        <row r="664">
          <cell r="A664">
            <v>1742000720</v>
          </cell>
          <cell r="B664" t="str">
            <v>חמרים</v>
          </cell>
          <cell r="C664">
            <v>100000</v>
          </cell>
          <cell r="D664">
            <v>70000</v>
          </cell>
          <cell r="E664">
            <v>56870.6</v>
          </cell>
        </row>
        <row r="665">
          <cell r="A665">
            <v>1742000740</v>
          </cell>
          <cell r="B665" t="str">
            <v>כלים מכשירים וציוד</v>
          </cell>
          <cell r="C665">
            <v>1700</v>
          </cell>
          <cell r="D665">
            <v>1700</v>
          </cell>
          <cell r="E665">
            <v>0</v>
          </cell>
        </row>
        <row r="666">
          <cell r="A666">
            <v>1742000750</v>
          </cell>
          <cell r="B666" t="str">
            <v>עבודות קבלניות</v>
          </cell>
          <cell r="C666">
            <v>100000</v>
          </cell>
          <cell r="D666">
            <v>60000</v>
          </cell>
          <cell r="E666">
            <v>17622</v>
          </cell>
        </row>
        <row r="667">
          <cell r="A667">
            <v>1742000780</v>
          </cell>
          <cell r="B667" t="str">
            <v>הוצאות אחרות</v>
          </cell>
          <cell r="C667">
            <v>0</v>
          </cell>
          <cell r="E667">
            <v>0</v>
          </cell>
        </row>
        <row r="668">
          <cell r="A668">
            <v>1742000910</v>
          </cell>
          <cell r="B668" t="str">
            <v>העברה מתקציב בלתי רגיל</v>
          </cell>
          <cell r="C668">
            <v>160000</v>
          </cell>
          <cell r="D668">
            <v>160000</v>
          </cell>
          <cell r="E668">
            <v>67754</v>
          </cell>
        </row>
        <row r="669">
          <cell r="A669">
            <v>1742000930</v>
          </cell>
          <cell r="B669" t="str">
            <v>רכישת ציוד</v>
          </cell>
          <cell r="C669">
            <v>100000</v>
          </cell>
          <cell r="D669">
            <v>100000</v>
          </cell>
          <cell r="E669">
            <v>45822.06</v>
          </cell>
        </row>
        <row r="670">
          <cell r="A670">
            <v>1743000110</v>
          </cell>
          <cell r="B670" t="str">
            <v>משכורת ושכר משולבים</v>
          </cell>
          <cell r="C670">
            <v>1087101</v>
          </cell>
          <cell r="D670">
            <v>984571</v>
          </cell>
          <cell r="E670">
            <v>782413.96</v>
          </cell>
        </row>
        <row r="671">
          <cell r="A671">
            <v>1743000720</v>
          </cell>
          <cell r="B671" t="str">
            <v>חמרים</v>
          </cell>
          <cell r="C671">
            <v>160000</v>
          </cell>
          <cell r="D671">
            <v>160000</v>
          </cell>
          <cell r="E671">
            <v>154121.01</v>
          </cell>
        </row>
        <row r="672">
          <cell r="A672">
            <v>1743000740</v>
          </cell>
          <cell r="B672" t="str">
            <v>כלים מכשירים וציוד</v>
          </cell>
          <cell r="C672">
            <v>35000</v>
          </cell>
          <cell r="D672">
            <v>35000</v>
          </cell>
          <cell r="E672">
            <v>34231.599999999999</v>
          </cell>
        </row>
        <row r="673">
          <cell r="A673">
            <v>1743000750</v>
          </cell>
          <cell r="B673" t="str">
            <v>עבודות קבלניות</v>
          </cell>
          <cell r="C673">
            <v>50000</v>
          </cell>
          <cell r="D673">
            <v>50000</v>
          </cell>
          <cell r="E673">
            <v>42152.83</v>
          </cell>
        </row>
        <row r="674">
          <cell r="A674">
            <v>1743000751</v>
          </cell>
          <cell r="B674" t="str">
            <v>עובדי קבלן</v>
          </cell>
          <cell r="C674">
            <v>0</v>
          </cell>
          <cell r="E674">
            <v>0</v>
          </cell>
        </row>
        <row r="675">
          <cell r="A675">
            <v>1743000770</v>
          </cell>
          <cell r="B675" t="str">
            <v>דלק וחשמל לפעולות</v>
          </cell>
          <cell r="C675">
            <v>2863823</v>
          </cell>
          <cell r="D675">
            <v>2380000</v>
          </cell>
          <cell r="E675">
            <v>2188190.25</v>
          </cell>
        </row>
        <row r="676">
          <cell r="A676">
            <v>1743000780</v>
          </cell>
          <cell r="B676" t="str">
            <v>הוצאות אחרות</v>
          </cell>
          <cell r="C676">
            <v>1300</v>
          </cell>
          <cell r="D676">
            <v>1300</v>
          </cell>
          <cell r="E676">
            <v>0</v>
          </cell>
        </row>
        <row r="677">
          <cell r="A677">
            <v>1743000910</v>
          </cell>
          <cell r="B677" t="str">
            <v>העברה לתב"ר</v>
          </cell>
          <cell r="C677">
            <v>54142</v>
          </cell>
          <cell r="D677">
            <v>54142</v>
          </cell>
          <cell r="E677">
            <v>57328</v>
          </cell>
        </row>
        <row r="678">
          <cell r="A678">
            <v>1743001731</v>
          </cell>
          <cell r="B678" t="str">
            <v>הנדסה-68-996-57</v>
          </cell>
          <cell r="C678">
            <v>44000</v>
          </cell>
          <cell r="D678">
            <v>44000</v>
          </cell>
          <cell r="E678">
            <v>32862.720000000001</v>
          </cell>
        </row>
        <row r="679">
          <cell r="A679">
            <v>1743002731</v>
          </cell>
          <cell r="B679" t="str">
            <v>הוצ' רכב 95-147-64</v>
          </cell>
          <cell r="C679">
            <v>36000</v>
          </cell>
          <cell r="D679">
            <v>36000</v>
          </cell>
          <cell r="E679">
            <v>33772.82</v>
          </cell>
        </row>
        <row r="680">
          <cell r="A680">
            <v>1743003731</v>
          </cell>
          <cell r="B680" t="str">
            <v>הוצ' רכב 3906358</v>
          </cell>
          <cell r="C680">
            <v>10000</v>
          </cell>
          <cell r="D680">
            <v>8000</v>
          </cell>
          <cell r="E680">
            <v>13394.57</v>
          </cell>
        </row>
        <row r="681">
          <cell r="A681">
            <v>1743004731</v>
          </cell>
          <cell r="B681" t="str">
            <v>גרור לגנרטור 78-550-15</v>
          </cell>
          <cell r="C681">
            <v>5000</v>
          </cell>
          <cell r="D681">
            <v>5000</v>
          </cell>
          <cell r="E681">
            <v>3590.33</v>
          </cell>
        </row>
        <row r="682">
          <cell r="A682">
            <v>1743005731</v>
          </cell>
          <cell r="B682" t="str">
            <v>נגרר 96-311-15</v>
          </cell>
          <cell r="C682">
            <v>1000</v>
          </cell>
          <cell r="D682">
            <v>1500</v>
          </cell>
          <cell r="E682">
            <v>839</v>
          </cell>
        </row>
        <row r="683">
          <cell r="A683">
            <v>1743006731</v>
          </cell>
          <cell r="B683" t="str">
            <v>גרור 9446361</v>
          </cell>
          <cell r="C683">
            <v>1000</v>
          </cell>
          <cell r="D683">
            <v>2500</v>
          </cell>
          <cell r="E683">
            <v>872</v>
          </cell>
        </row>
        <row r="684">
          <cell r="A684">
            <v>1744000910</v>
          </cell>
          <cell r="B684" t="str">
            <v>העברה מתקציב בלתי רגיל</v>
          </cell>
          <cell r="C684">
            <v>127797</v>
          </cell>
          <cell r="D684">
            <v>127797</v>
          </cell>
          <cell r="E684">
            <v>150897.1</v>
          </cell>
        </row>
        <row r="685">
          <cell r="A685">
            <v>1744300780</v>
          </cell>
          <cell r="B685" t="str">
            <v>בטיחות בדרכים-מש' התחבורה</v>
          </cell>
          <cell r="C685">
            <v>0</v>
          </cell>
          <cell r="E685">
            <v>0</v>
          </cell>
        </row>
        <row r="686">
          <cell r="A686">
            <v>1744400521</v>
          </cell>
          <cell r="B686" t="str">
            <v>השתלמויות</v>
          </cell>
          <cell r="C686">
            <v>1000</v>
          </cell>
          <cell r="D686">
            <v>1000</v>
          </cell>
          <cell r="E686">
            <v>0</v>
          </cell>
        </row>
        <row r="687">
          <cell r="A687">
            <v>1744400522</v>
          </cell>
          <cell r="B687" t="str">
            <v>ספרות מקצועית</v>
          </cell>
          <cell r="C687">
            <v>1000</v>
          </cell>
          <cell r="D687">
            <v>1000</v>
          </cell>
          <cell r="E687">
            <v>0</v>
          </cell>
        </row>
        <row r="688">
          <cell r="A688">
            <v>1744400750</v>
          </cell>
          <cell r="B688" t="str">
            <v>שלטים,תמרורים וסימון כב</v>
          </cell>
          <cell r="C688">
            <v>4000</v>
          </cell>
          <cell r="D688">
            <v>4000</v>
          </cell>
          <cell r="E688">
            <v>0</v>
          </cell>
        </row>
        <row r="689">
          <cell r="A689">
            <v>1745000810</v>
          </cell>
          <cell r="B689" t="str">
            <v>רשות נקוז</v>
          </cell>
          <cell r="C689">
            <v>312851</v>
          </cell>
          <cell r="D689">
            <v>312851</v>
          </cell>
          <cell r="E689">
            <v>312851</v>
          </cell>
        </row>
        <row r="690">
          <cell r="A690">
            <v>1746000110</v>
          </cell>
          <cell r="B690" t="str">
            <v>משכורת ושכר משולבים</v>
          </cell>
          <cell r="C690">
            <v>488314</v>
          </cell>
          <cell r="D690">
            <v>540090</v>
          </cell>
          <cell r="E690">
            <v>399887.84</v>
          </cell>
        </row>
        <row r="691">
          <cell r="A691">
            <v>1746000210</v>
          </cell>
          <cell r="B691" t="str">
            <v>שכ"ע יומיים</v>
          </cell>
          <cell r="C691">
            <v>0</v>
          </cell>
          <cell r="E691">
            <v>0</v>
          </cell>
        </row>
        <row r="692">
          <cell r="A692">
            <v>1746000430</v>
          </cell>
          <cell r="B692" t="str">
            <v>גנים-מאור,כח,חימום,מים</v>
          </cell>
          <cell r="C692">
            <v>1300000</v>
          </cell>
          <cell r="D692">
            <v>970000</v>
          </cell>
          <cell r="E692">
            <v>592156.1</v>
          </cell>
        </row>
        <row r="693">
          <cell r="A693">
            <v>1746000720</v>
          </cell>
          <cell r="B693" t="str">
            <v>גנים - חומרים</v>
          </cell>
          <cell r="C693">
            <v>100000</v>
          </cell>
          <cell r="D693">
            <v>100000</v>
          </cell>
          <cell r="E693">
            <v>76294.66</v>
          </cell>
        </row>
        <row r="694">
          <cell r="A694">
            <v>1746000731</v>
          </cell>
          <cell r="B694" t="str">
            <v>הוצ' 90-771-61</v>
          </cell>
          <cell r="C694">
            <v>2000</v>
          </cell>
          <cell r="D694">
            <v>1500</v>
          </cell>
          <cell r="E694">
            <v>5093.75</v>
          </cell>
        </row>
        <row r="695">
          <cell r="A695">
            <v>1746000732</v>
          </cell>
          <cell r="B695" t="str">
            <v>תברואה-תיקוני רכב</v>
          </cell>
          <cell r="C695">
            <v>4000</v>
          </cell>
          <cell r="D695">
            <v>4000</v>
          </cell>
          <cell r="E695">
            <v>2297</v>
          </cell>
        </row>
        <row r="696">
          <cell r="A696">
            <v>1746000740</v>
          </cell>
          <cell r="B696" t="str">
            <v>גנים-כלים,מכשירים,ציוד</v>
          </cell>
          <cell r="C696">
            <v>45000</v>
          </cell>
          <cell r="D696">
            <v>45000</v>
          </cell>
          <cell r="E696">
            <v>44992</v>
          </cell>
        </row>
        <row r="697">
          <cell r="A697">
            <v>1746000750</v>
          </cell>
          <cell r="B697" t="str">
            <v>גינון</v>
          </cell>
          <cell r="C697">
            <v>3200000</v>
          </cell>
          <cell r="D697">
            <v>3163000</v>
          </cell>
          <cell r="E697">
            <v>2438607.44</v>
          </cell>
        </row>
        <row r="698">
          <cell r="A698">
            <v>1746000751</v>
          </cell>
          <cell r="B698" t="str">
            <v>גנים-גיזום-</v>
          </cell>
          <cell r="C698">
            <v>150000</v>
          </cell>
          <cell r="D698">
            <v>100000</v>
          </cell>
          <cell r="E698">
            <v>95624.1</v>
          </cell>
        </row>
        <row r="699">
          <cell r="A699">
            <v>1746000752</v>
          </cell>
          <cell r="B699" t="str">
            <v>ניקוי חצרות</v>
          </cell>
          <cell r="C699">
            <v>700000</v>
          </cell>
          <cell r="D699">
            <v>600000</v>
          </cell>
          <cell r="E699">
            <v>565649</v>
          </cell>
        </row>
        <row r="700">
          <cell r="A700">
            <v>1746000770</v>
          </cell>
          <cell r="B700" t="str">
            <v>גנים-דלק וחשמל</v>
          </cell>
          <cell r="C700">
            <v>15400</v>
          </cell>
          <cell r="D700">
            <v>15400</v>
          </cell>
          <cell r="E700">
            <v>10392.23</v>
          </cell>
        </row>
        <row r="701">
          <cell r="A701">
            <v>1746000780</v>
          </cell>
          <cell r="B701" t="str">
            <v>גנים-הוצ אחרות</v>
          </cell>
          <cell r="C701">
            <v>18000</v>
          </cell>
          <cell r="D701">
            <v>18000</v>
          </cell>
          <cell r="E701">
            <v>8956.85</v>
          </cell>
        </row>
        <row r="702">
          <cell r="A702">
            <v>1746000930</v>
          </cell>
          <cell r="B702" t="str">
            <v>גנים-ציוד יסודי-טנדר ח</v>
          </cell>
          <cell r="C702">
            <v>0</v>
          </cell>
          <cell r="E702">
            <v>0</v>
          </cell>
        </row>
        <row r="703">
          <cell r="A703">
            <v>1746000931</v>
          </cell>
          <cell r="B703" t="str">
            <v>גנים ונטיעות</v>
          </cell>
          <cell r="C703">
            <v>38000</v>
          </cell>
          <cell r="D703">
            <v>38000</v>
          </cell>
          <cell r="E703">
            <v>34946</v>
          </cell>
        </row>
        <row r="704">
          <cell r="A704">
            <v>1746100110</v>
          </cell>
          <cell r="B704" t="str">
            <v>משכורת שפ"ע</v>
          </cell>
          <cell r="C704">
            <v>1899029</v>
          </cell>
          <cell r="D704">
            <v>1729111</v>
          </cell>
          <cell r="E704">
            <v>1343853.71</v>
          </cell>
        </row>
        <row r="705">
          <cell r="A705">
            <v>1746100560</v>
          </cell>
          <cell r="B705" t="str">
            <v>ציוד משרדי לאגף שפ"ע</v>
          </cell>
          <cell r="C705">
            <v>4000</v>
          </cell>
          <cell r="D705">
            <v>4000</v>
          </cell>
          <cell r="E705">
            <v>1242.07</v>
          </cell>
        </row>
        <row r="706">
          <cell r="A706">
            <v>1746100720</v>
          </cell>
          <cell r="B706" t="str">
            <v>שפ"ע - חומרים</v>
          </cell>
          <cell r="C706">
            <v>300000</v>
          </cell>
          <cell r="D706">
            <v>291516</v>
          </cell>
          <cell r="E706">
            <v>142923.9</v>
          </cell>
        </row>
        <row r="707">
          <cell r="A707">
            <v>1746100731</v>
          </cell>
          <cell r="B707" t="str">
            <v>הוצ 22-167-64</v>
          </cell>
          <cell r="C707">
            <v>40000</v>
          </cell>
          <cell r="D707">
            <v>43000</v>
          </cell>
          <cell r="E707">
            <v>26872.77</v>
          </cell>
        </row>
        <row r="708">
          <cell r="A708">
            <v>1746100732</v>
          </cell>
          <cell r="B708" t="str">
            <v>הוצ' רכב 25-723-63</v>
          </cell>
          <cell r="C708">
            <v>24000</v>
          </cell>
          <cell r="E708">
            <v>19467.32</v>
          </cell>
        </row>
        <row r="709">
          <cell r="A709">
            <v>1746100733</v>
          </cell>
          <cell r="B709" t="str">
            <v>הוצ' רכב 25-724-63</v>
          </cell>
          <cell r="C709">
            <v>22000</v>
          </cell>
          <cell r="E709">
            <v>18288.849999999999</v>
          </cell>
        </row>
        <row r="710">
          <cell r="A710">
            <v>1746100740</v>
          </cell>
          <cell r="B710" t="str">
            <v>שפ"ע-כלים,מכשירים,ציוד</v>
          </cell>
          <cell r="C710">
            <v>21000</v>
          </cell>
          <cell r="D710">
            <v>21000</v>
          </cell>
          <cell r="E710">
            <v>10107.64</v>
          </cell>
        </row>
        <row r="711">
          <cell r="A711">
            <v>1746100780</v>
          </cell>
          <cell r="B711" t="str">
            <v>שפ"ע-הוצ אחרות</v>
          </cell>
          <cell r="C711">
            <v>4500</v>
          </cell>
          <cell r="D711">
            <v>4500</v>
          </cell>
          <cell r="E711">
            <v>4600</v>
          </cell>
        </row>
        <row r="712">
          <cell r="A712">
            <v>1746200731</v>
          </cell>
          <cell r="B712" t="str">
            <v>שפע 12-528-51</v>
          </cell>
          <cell r="C712">
            <v>14000</v>
          </cell>
          <cell r="D712">
            <v>14000</v>
          </cell>
          <cell r="E712">
            <v>12644</v>
          </cell>
        </row>
        <row r="713">
          <cell r="A713">
            <v>1746300731</v>
          </cell>
          <cell r="B713" t="str">
            <v>כבישים 25-721-63</v>
          </cell>
          <cell r="C713">
            <v>15000</v>
          </cell>
          <cell r="E713">
            <v>13566.96</v>
          </cell>
        </row>
        <row r="714">
          <cell r="A714">
            <v>1747000731</v>
          </cell>
          <cell r="B714" t="str">
            <v>טרקטור 62-064-68</v>
          </cell>
          <cell r="C714">
            <v>10000</v>
          </cell>
          <cell r="D714">
            <v>14000</v>
          </cell>
          <cell r="E714">
            <v>5154.28</v>
          </cell>
        </row>
        <row r="715">
          <cell r="A715">
            <v>1747200110</v>
          </cell>
          <cell r="B715" t="str">
            <v>משכורת חוף ארגמן</v>
          </cell>
          <cell r="C715">
            <v>218096</v>
          </cell>
          <cell r="D715">
            <v>183404</v>
          </cell>
          <cell r="E715">
            <v>166427.54</v>
          </cell>
        </row>
        <row r="716">
          <cell r="A716">
            <v>1747200432</v>
          </cell>
          <cell r="B716" t="str">
            <v>מים-חופי רחצה</v>
          </cell>
          <cell r="C716">
            <v>65000</v>
          </cell>
          <cell r="D716">
            <v>65000</v>
          </cell>
          <cell r="E716">
            <v>0</v>
          </cell>
        </row>
        <row r="717">
          <cell r="A717">
            <v>1747200731</v>
          </cell>
          <cell r="B717" t="str">
            <v>הוצ' רכב 60-585-74 ליסינג</v>
          </cell>
          <cell r="C717">
            <v>0</v>
          </cell>
          <cell r="E717">
            <v>2690.53</v>
          </cell>
        </row>
        <row r="718">
          <cell r="A718">
            <v>1747200780</v>
          </cell>
          <cell r="B718" t="str">
            <v>אחזקת חופי רחצה</v>
          </cell>
          <cell r="C718">
            <v>840000</v>
          </cell>
          <cell r="D718">
            <v>840000</v>
          </cell>
          <cell r="E718">
            <v>900476.48</v>
          </cell>
        </row>
        <row r="719">
          <cell r="A719">
            <v>1747220731</v>
          </cell>
          <cell r="B719" t="str">
            <v>הוצ' רכב 26-908-72</v>
          </cell>
          <cell r="C719">
            <v>20000</v>
          </cell>
          <cell r="E719">
            <v>8510.4599999999991</v>
          </cell>
        </row>
        <row r="720">
          <cell r="A720">
            <v>1749000110</v>
          </cell>
          <cell r="B720" t="str">
            <v>משכורת ושכר משולבים</v>
          </cell>
          <cell r="C720">
            <v>1338420</v>
          </cell>
          <cell r="D720">
            <v>1222577</v>
          </cell>
          <cell r="E720">
            <v>973422.63</v>
          </cell>
        </row>
        <row r="721">
          <cell r="A721">
            <v>1749000731</v>
          </cell>
          <cell r="B721" t="str">
            <v>אחזקה 35-596-56</v>
          </cell>
          <cell r="C721">
            <v>22000</v>
          </cell>
          <cell r="D721">
            <v>28000</v>
          </cell>
          <cell r="E721">
            <v>17361.12</v>
          </cell>
        </row>
        <row r="722">
          <cell r="A722">
            <v>1749000750</v>
          </cell>
          <cell r="B722" t="str">
            <v>עבודות קבלניות</v>
          </cell>
          <cell r="C722">
            <v>12000</v>
          </cell>
          <cell r="D722">
            <v>20000</v>
          </cell>
          <cell r="E722">
            <v>8088.6</v>
          </cell>
        </row>
        <row r="723">
          <cell r="A723">
            <v>1749000770</v>
          </cell>
          <cell r="B723" t="str">
            <v>דלק וחשמל לפעולות</v>
          </cell>
          <cell r="C723">
            <v>0</v>
          </cell>
          <cell r="E723">
            <v>0</v>
          </cell>
        </row>
        <row r="724">
          <cell r="A724">
            <v>1751000110</v>
          </cell>
          <cell r="B724" t="str">
            <v>משכורת</v>
          </cell>
          <cell r="C724">
            <v>0</v>
          </cell>
          <cell r="E724">
            <v>0</v>
          </cell>
        </row>
        <row r="725">
          <cell r="A725">
            <v>1751000780</v>
          </cell>
          <cell r="B725" t="str">
            <v>אירועי האביב</v>
          </cell>
          <cell r="C725">
            <v>815500</v>
          </cell>
          <cell r="D725">
            <v>815500</v>
          </cell>
          <cell r="E725">
            <v>815483.24</v>
          </cell>
        </row>
        <row r="726">
          <cell r="A726">
            <v>1751000910</v>
          </cell>
          <cell r="B726" t="str">
            <v>העברה מתקציב בלתי רגיל</v>
          </cell>
          <cell r="C726">
            <v>0</v>
          </cell>
          <cell r="E726">
            <v>0</v>
          </cell>
        </row>
        <row r="727">
          <cell r="A727">
            <v>1751001731</v>
          </cell>
          <cell r="B727" t="str">
            <v>הוצ' טנדר 8400361</v>
          </cell>
          <cell r="C727">
            <v>30000</v>
          </cell>
          <cell r="D727">
            <v>40000</v>
          </cell>
          <cell r="E727">
            <v>20184.84</v>
          </cell>
        </row>
        <row r="728">
          <cell r="A728">
            <v>1751001780</v>
          </cell>
          <cell r="B728" t="str">
            <v>אירועי קיץ</v>
          </cell>
          <cell r="C728">
            <v>250000</v>
          </cell>
          <cell r="D728">
            <v>250000</v>
          </cell>
          <cell r="E728">
            <v>248170.46</v>
          </cell>
        </row>
        <row r="729">
          <cell r="A729">
            <v>1751002731</v>
          </cell>
          <cell r="B729" t="str">
            <v>הוצ' רכב 6215515</v>
          </cell>
          <cell r="C729">
            <v>2000</v>
          </cell>
          <cell r="D729">
            <v>2500</v>
          </cell>
          <cell r="E729">
            <v>1057</v>
          </cell>
        </row>
        <row r="730">
          <cell r="A730">
            <v>1751002780</v>
          </cell>
          <cell r="B730" t="str">
            <v>אירועים כללי</v>
          </cell>
          <cell r="C730">
            <v>355000</v>
          </cell>
          <cell r="D730">
            <v>355000</v>
          </cell>
          <cell r="E730">
            <v>272585.71000000002</v>
          </cell>
        </row>
        <row r="731">
          <cell r="A731">
            <v>1751003731</v>
          </cell>
          <cell r="B731" t="str">
            <v>הוצ' רכב 9283760</v>
          </cell>
          <cell r="C731">
            <v>1000</v>
          </cell>
          <cell r="D731">
            <v>1500</v>
          </cell>
          <cell r="E731">
            <v>839</v>
          </cell>
        </row>
        <row r="732">
          <cell r="A732">
            <v>1751078110</v>
          </cell>
          <cell r="B732" t="str">
            <v>משכורת</v>
          </cell>
          <cell r="C732">
            <v>0</v>
          </cell>
          <cell r="E732">
            <v>0</v>
          </cell>
        </row>
        <row r="733">
          <cell r="A733">
            <v>1751150780</v>
          </cell>
          <cell r="B733" t="str">
            <v>ווקאליזה</v>
          </cell>
          <cell r="C733">
            <v>500000</v>
          </cell>
          <cell r="D733">
            <v>500000</v>
          </cell>
          <cell r="E733">
            <v>500000</v>
          </cell>
        </row>
        <row r="734">
          <cell r="A734">
            <v>1752001731</v>
          </cell>
          <cell r="B734" t="str">
            <v>נגרר 6215515</v>
          </cell>
          <cell r="C734">
            <v>0</v>
          </cell>
          <cell r="E734">
            <v>0</v>
          </cell>
        </row>
        <row r="735">
          <cell r="A735">
            <v>1752100810</v>
          </cell>
          <cell r="B735" t="str">
            <v>פדרציות למוסיקה-השתתפות</v>
          </cell>
          <cell r="C735">
            <v>75000</v>
          </cell>
          <cell r="D735">
            <v>75000</v>
          </cell>
          <cell r="E735">
            <v>75643</v>
          </cell>
        </row>
        <row r="736">
          <cell r="A736">
            <v>1760000399</v>
          </cell>
          <cell r="B736" t="str">
            <v>הפרשה לדמי הבראה ומענק</v>
          </cell>
          <cell r="C736">
            <v>0</v>
          </cell>
          <cell r="E736">
            <v>0</v>
          </cell>
        </row>
        <row r="737">
          <cell r="A737">
            <v>1760000811</v>
          </cell>
          <cell r="B737" t="str">
            <v>עיר ללא אלימות-פר 6,5,</v>
          </cell>
          <cell r="C737">
            <v>0</v>
          </cell>
          <cell r="E737">
            <v>0</v>
          </cell>
        </row>
        <row r="738">
          <cell r="A738">
            <v>1760000910</v>
          </cell>
          <cell r="B738" t="str">
            <v>עיר ללא אלימות</v>
          </cell>
          <cell r="C738">
            <v>0</v>
          </cell>
          <cell r="E738">
            <v>0</v>
          </cell>
        </row>
        <row r="739">
          <cell r="A739">
            <v>1761000110</v>
          </cell>
          <cell r="B739" t="str">
            <v>מוקד עירוני-משכורת</v>
          </cell>
          <cell r="C739">
            <v>229880</v>
          </cell>
          <cell r="D739">
            <v>232868</v>
          </cell>
          <cell r="E739">
            <v>180692.08</v>
          </cell>
        </row>
        <row r="740">
          <cell r="A740">
            <v>1761000420</v>
          </cell>
          <cell r="B740" t="str">
            <v>מוקד עירוני-חמרים</v>
          </cell>
          <cell r="C740">
            <v>20000</v>
          </cell>
          <cell r="D740">
            <v>17000</v>
          </cell>
          <cell r="E740">
            <v>16216.08</v>
          </cell>
        </row>
        <row r="741">
          <cell r="A741">
            <v>1761000430</v>
          </cell>
          <cell r="B741" t="str">
            <v>מוקד עירוני-חשמל ומים</v>
          </cell>
          <cell r="C741">
            <v>0</v>
          </cell>
          <cell r="E741">
            <v>536.05999999999995</v>
          </cell>
        </row>
        <row r="742">
          <cell r="A742">
            <v>1761000470</v>
          </cell>
          <cell r="B742" t="str">
            <v>מוקד עירוני-ציוד משרדי</v>
          </cell>
          <cell r="C742">
            <v>2500</v>
          </cell>
          <cell r="D742">
            <v>1500</v>
          </cell>
          <cell r="E742">
            <v>1718.7</v>
          </cell>
        </row>
        <row r="743">
          <cell r="A743">
            <v>1761000540</v>
          </cell>
          <cell r="B743" t="str">
            <v>מוקד-תקשורת שלוחות</v>
          </cell>
          <cell r="C743">
            <v>6000</v>
          </cell>
          <cell r="D743">
            <v>8400</v>
          </cell>
          <cell r="E743">
            <v>2986.7</v>
          </cell>
        </row>
        <row r="744">
          <cell r="A744">
            <v>1761000731</v>
          </cell>
          <cell r="B744" t="str">
            <v>הוצ רכב 48-285-70</v>
          </cell>
          <cell r="C744">
            <v>12000</v>
          </cell>
          <cell r="D744">
            <v>12000</v>
          </cell>
          <cell r="E744">
            <v>10648.32</v>
          </cell>
        </row>
        <row r="745">
          <cell r="A745">
            <v>1761000930</v>
          </cell>
          <cell r="B745" t="str">
            <v>מוקד עירוני-רכישת ציוד</v>
          </cell>
          <cell r="C745">
            <v>3000</v>
          </cell>
          <cell r="D745">
            <v>2000</v>
          </cell>
          <cell r="E745">
            <v>615.13</v>
          </cell>
        </row>
        <row r="746">
          <cell r="A746">
            <v>1761001731</v>
          </cell>
          <cell r="B746" t="str">
            <v>אופנוע 1510164 למוקד</v>
          </cell>
          <cell r="C746">
            <v>0</v>
          </cell>
          <cell r="E746">
            <v>0</v>
          </cell>
        </row>
        <row r="747">
          <cell r="A747">
            <v>1761100430</v>
          </cell>
          <cell r="B747" t="str">
            <v>מאור שלוחות עיר עתיקה</v>
          </cell>
          <cell r="C747">
            <v>1500</v>
          </cell>
          <cell r="D747">
            <v>1500</v>
          </cell>
          <cell r="E747">
            <v>248.89</v>
          </cell>
        </row>
        <row r="748">
          <cell r="A748">
            <v>1764000110</v>
          </cell>
          <cell r="B748" t="str">
            <v>משכורת ושכר משולבים</v>
          </cell>
          <cell r="C748">
            <v>196845</v>
          </cell>
          <cell r="D748">
            <v>568958</v>
          </cell>
          <cell r="E748">
            <v>332305.52</v>
          </cell>
        </row>
        <row r="749">
          <cell r="A749">
            <v>1764000210</v>
          </cell>
          <cell r="B749" t="str">
            <v>משכורת</v>
          </cell>
          <cell r="C749">
            <v>0</v>
          </cell>
          <cell r="E749">
            <v>0</v>
          </cell>
        </row>
        <row r="750">
          <cell r="A750">
            <v>1764000511</v>
          </cell>
          <cell r="B750" t="str">
            <v>כיבודים</v>
          </cell>
          <cell r="C750">
            <v>6700</v>
          </cell>
          <cell r="D750">
            <v>7000</v>
          </cell>
          <cell r="E750">
            <v>5513.79</v>
          </cell>
        </row>
        <row r="751">
          <cell r="A751">
            <v>1764000560</v>
          </cell>
          <cell r="B751" t="str">
            <v>ציוד משרדי</v>
          </cell>
          <cell r="C751">
            <v>3340</v>
          </cell>
          <cell r="D751">
            <v>6000</v>
          </cell>
          <cell r="E751">
            <v>1669.29</v>
          </cell>
        </row>
        <row r="752">
          <cell r="A752">
            <v>1764000731</v>
          </cell>
          <cell r="B752" t="str">
            <v>הוצ' רכב 6359762</v>
          </cell>
          <cell r="C752">
            <v>30000</v>
          </cell>
          <cell r="D752">
            <v>35000</v>
          </cell>
          <cell r="E752">
            <v>17733.03</v>
          </cell>
        </row>
        <row r="753">
          <cell r="A753">
            <v>1764000760</v>
          </cell>
          <cell r="B753" t="str">
            <v>קניית שירותים ממוסדות</v>
          </cell>
          <cell r="C753">
            <v>10000</v>
          </cell>
          <cell r="D753">
            <v>19000</v>
          </cell>
          <cell r="E753">
            <v>0</v>
          </cell>
        </row>
        <row r="754">
          <cell r="A754">
            <v>1764000780</v>
          </cell>
          <cell r="B754" t="str">
            <v>הוצאות אחרות</v>
          </cell>
          <cell r="C754">
            <v>0</v>
          </cell>
          <cell r="E754">
            <v>2700</v>
          </cell>
        </row>
        <row r="755">
          <cell r="A755">
            <v>1764000781</v>
          </cell>
          <cell r="B755" t="str">
            <v>קידום פרויקטים</v>
          </cell>
          <cell r="C755">
            <v>368000</v>
          </cell>
          <cell r="D755">
            <v>368000</v>
          </cell>
          <cell r="E755">
            <v>161722.60999999999</v>
          </cell>
        </row>
        <row r="756">
          <cell r="A756">
            <v>1764000783</v>
          </cell>
          <cell r="B756" t="str">
            <v>הוצאות מותנות עמותות</v>
          </cell>
          <cell r="C756">
            <v>150000</v>
          </cell>
          <cell r="D756">
            <v>150000</v>
          </cell>
          <cell r="E756">
            <v>0</v>
          </cell>
        </row>
        <row r="757">
          <cell r="A757">
            <v>1764000784</v>
          </cell>
          <cell r="B757" t="str">
            <v>הוצאות מותנות עמותות</v>
          </cell>
          <cell r="C757">
            <v>0</v>
          </cell>
          <cell r="E757">
            <v>0</v>
          </cell>
        </row>
        <row r="758">
          <cell r="A758">
            <v>1764000810</v>
          </cell>
          <cell r="B758" t="str">
            <v>את"ד-השתתפות</v>
          </cell>
          <cell r="C758">
            <v>8000</v>
          </cell>
          <cell r="D758">
            <v>8000</v>
          </cell>
          <cell r="E758">
            <v>0</v>
          </cell>
        </row>
        <row r="759">
          <cell r="A759">
            <v>1764100781</v>
          </cell>
          <cell r="B759" t="str">
            <v>הוצאות אחרות</v>
          </cell>
          <cell r="C759">
            <v>0</v>
          </cell>
          <cell r="E759">
            <v>0</v>
          </cell>
        </row>
        <row r="760">
          <cell r="A760">
            <v>1765000810</v>
          </cell>
          <cell r="B760" t="str">
            <v>השתתפויות ותרומות</v>
          </cell>
          <cell r="C760">
            <v>24000</v>
          </cell>
          <cell r="D760">
            <v>24000</v>
          </cell>
          <cell r="E760">
            <v>15000</v>
          </cell>
        </row>
        <row r="761">
          <cell r="A761">
            <v>1765000811</v>
          </cell>
          <cell r="B761" t="str">
            <v>השתת, הורים שכולים</v>
          </cell>
          <cell r="C761">
            <v>15000</v>
          </cell>
          <cell r="D761">
            <v>15000</v>
          </cell>
          <cell r="E761">
            <v>15299.12</v>
          </cell>
        </row>
        <row r="762">
          <cell r="A762">
            <v>1765100810</v>
          </cell>
          <cell r="B762" t="str">
            <v>דמי חבר מש"מ</v>
          </cell>
          <cell r="C762">
            <v>120000</v>
          </cell>
          <cell r="D762">
            <v>136000</v>
          </cell>
          <cell r="E762">
            <v>118900</v>
          </cell>
        </row>
        <row r="763">
          <cell r="A763">
            <v>1766000810</v>
          </cell>
          <cell r="B763" t="str">
            <v>ועד עובדים - השתתפות</v>
          </cell>
          <cell r="C763">
            <v>580000</v>
          </cell>
          <cell r="D763">
            <v>580000</v>
          </cell>
          <cell r="E763">
            <v>422000</v>
          </cell>
        </row>
        <row r="764">
          <cell r="A764">
            <v>1767000440</v>
          </cell>
          <cell r="B764" t="str">
            <v>ביטוח</v>
          </cell>
          <cell r="C764">
            <v>1260690</v>
          </cell>
          <cell r="D764">
            <v>728479</v>
          </cell>
          <cell r="E764">
            <v>924250.14</v>
          </cell>
        </row>
        <row r="765">
          <cell r="A765">
            <v>1767000584</v>
          </cell>
          <cell r="B765" t="str">
            <v>ייעוץ לביטוח</v>
          </cell>
          <cell r="C765">
            <v>18000</v>
          </cell>
          <cell r="D765">
            <v>18000</v>
          </cell>
          <cell r="E765">
            <v>0</v>
          </cell>
        </row>
        <row r="766">
          <cell r="A766">
            <v>1769000550</v>
          </cell>
          <cell r="B766" t="str">
            <v>קידום האישה</v>
          </cell>
          <cell r="C766">
            <v>2000</v>
          </cell>
          <cell r="D766">
            <v>2000</v>
          </cell>
          <cell r="E766">
            <v>0</v>
          </cell>
        </row>
        <row r="767">
          <cell r="A767">
            <v>1769000780</v>
          </cell>
          <cell r="B767" t="str">
            <v>כרטיסי רכבת לחיילים</v>
          </cell>
          <cell r="C767">
            <v>76000</v>
          </cell>
          <cell r="D767">
            <v>76000</v>
          </cell>
          <cell r="E767">
            <v>48996.01</v>
          </cell>
        </row>
        <row r="768">
          <cell r="A768">
            <v>1769000785</v>
          </cell>
          <cell r="B768" t="str">
            <v>מלגות לסטודנטים</v>
          </cell>
          <cell r="C768">
            <v>124000</v>
          </cell>
          <cell r="D768">
            <v>124000</v>
          </cell>
          <cell r="E768">
            <v>124000</v>
          </cell>
        </row>
        <row r="769">
          <cell r="A769">
            <v>1772000110</v>
          </cell>
          <cell r="B769" t="str">
            <v>משכורת</v>
          </cell>
          <cell r="C769">
            <v>0</v>
          </cell>
          <cell r="E769">
            <v>0</v>
          </cell>
        </row>
        <row r="770">
          <cell r="A770">
            <v>1772000511</v>
          </cell>
          <cell r="B770" t="str">
            <v>כיבוד</v>
          </cell>
          <cell r="C770">
            <v>800</v>
          </cell>
          <cell r="D770">
            <v>1800</v>
          </cell>
          <cell r="E770">
            <v>0</v>
          </cell>
        </row>
        <row r="771">
          <cell r="A771">
            <v>1772000550</v>
          </cell>
          <cell r="B771" t="str">
            <v>שיווק מוניציפאלי</v>
          </cell>
          <cell r="D771">
            <v>515000</v>
          </cell>
          <cell r="E771">
            <v>384194</v>
          </cell>
        </row>
        <row r="772">
          <cell r="A772">
            <v>1772000561</v>
          </cell>
          <cell r="B772" t="str">
            <v>ציוד משרדי</v>
          </cell>
          <cell r="C772">
            <v>2000</v>
          </cell>
          <cell r="D772">
            <v>2000</v>
          </cell>
          <cell r="E772">
            <v>820.48</v>
          </cell>
        </row>
        <row r="773">
          <cell r="A773">
            <v>1772000731</v>
          </cell>
          <cell r="B773" t="str">
            <v>הוצ. רכב 71-712-75 ליסינג</v>
          </cell>
          <cell r="C773">
            <v>69000</v>
          </cell>
          <cell r="D773">
            <v>69000</v>
          </cell>
          <cell r="E773">
            <v>41824.94</v>
          </cell>
        </row>
        <row r="774">
          <cell r="A774">
            <v>1772000750</v>
          </cell>
          <cell r="B774" t="str">
            <v>עבודות קבלניות</v>
          </cell>
          <cell r="C774">
            <v>158000</v>
          </cell>
          <cell r="D774">
            <v>158000</v>
          </cell>
          <cell r="E774">
            <v>33837.599999999999</v>
          </cell>
        </row>
        <row r="775">
          <cell r="A775">
            <v>1772000760</v>
          </cell>
          <cell r="B775" t="str">
            <v>קניית שירותים ממוסדות</v>
          </cell>
          <cell r="C775">
            <v>0</v>
          </cell>
          <cell r="E775">
            <v>0</v>
          </cell>
        </row>
        <row r="776">
          <cell r="A776">
            <v>1772000780</v>
          </cell>
          <cell r="B776" t="str">
            <v>הוצאות אחרות</v>
          </cell>
          <cell r="C776">
            <v>1800</v>
          </cell>
          <cell r="D776">
            <v>1815</v>
          </cell>
          <cell r="E776">
            <v>560.79999999999995</v>
          </cell>
        </row>
        <row r="777">
          <cell r="A777">
            <v>1772000810</v>
          </cell>
          <cell r="B777" t="str">
            <v>השתתפות חברה כלכלית</v>
          </cell>
          <cell r="C777">
            <v>0</v>
          </cell>
          <cell r="E777">
            <v>0</v>
          </cell>
        </row>
        <row r="778">
          <cell r="A778">
            <v>1772000910</v>
          </cell>
          <cell r="B778" t="str">
            <v>עוזר רה"ע</v>
          </cell>
          <cell r="C778">
            <v>1185</v>
          </cell>
          <cell r="D778">
            <v>1185</v>
          </cell>
          <cell r="E778">
            <v>1185</v>
          </cell>
        </row>
        <row r="779">
          <cell r="A779">
            <v>1780000399</v>
          </cell>
          <cell r="B779" t="str">
            <v>הפרשה לדמי הבראה ומענק</v>
          </cell>
          <cell r="C779">
            <v>0</v>
          </cell>
          <cell r="E779">
            <v>0</v>
          </cell>
        </row>
        <row r="780">
          <cell r="A780">
            <v>1781000110</v>
          </cell>
          <cell r="B780" t="str">
            <v>משכורת ושכר משולבים</v>
          </cell>
          <cell r="C780">
            <v>1790735</v>
          </cell>
          <cell r="D780">
            <v>1590088</v>
          </cell>
          <cell r="E780">
            <v>1267287.3899999999</v>
          </cell>
        </row>
        <row r="781">
          <cell r="A781">
            <v>1781000210</v>
          </cell>
          <cell r="B781" t="str">
            <v>פיקוח-משכ. זמניים</v>
          </cell>
          <cell r="C781">
            <v>273495</v>
          </cell>
          <cell r="D781">
            <v>229233</v>
          </cell>
          <cell r="E781">
            <v>15538.82</v>
          </cell>
        </row>
        <row r="782">
          <cell r="A782">
            <v>1781000422</v>
          </cell>
          <cell r="B782" t="str">
            <v>פיקוח-אחזקת מבנים</v>
          </cell>
          <cell r="C782">
            <v>100</v>
          </cell>
          <cell r="D782">
            <v>100</v>
          </cell>
          <cell r="E782">
            <v>0</v>
          </cell>
        </row>
        <row r="783">
          <cell r="A783">
            <v>1781000440</v>
          </cell>
          <cell r="B783" t="str">
            <v>ביטוח</v>
          </cell>
          <cell r="C783">
            <v>8800</v>
          </cell>
          <cell r="D783">
            <v>4314</v>
          </cell>
          <cell r="E783">
            <v>4400</v>
          </cell>
        </row>
        <row r="784">
          <cell r="A784">
            <v>1781000511</v>
          </cell>
          <cell r="B784" t="str">
            <v>פיקוח אירוח וכיבוד</v>
          </cell>
          <cell r="C784">
            <v>0</v>
          </cell>
          <cell r="E784">
            <v>0</v>
          </cell>
        </row>
        <row r="785">
          <cell r="A785">
            <v>1781000521</v>
          </cell>
          <cell r="B785" t="str">
            <v>פיקוח-השתלמויות</v>
          </cell>
          <cell r="C785">
            <v>815</v>
          </cell>
          <cell r="D785">
            <v>815</v>
          </cell>
          <cell r="E785">
            <v>0</v>
          </cell>
        </row>
        <row r="786">
          <cell r="A786">
            <v>1781000560</v>
          </cell>
          <cell r="B786" t="str">
            <v>מכשירי כתיבה</v>
          </cell>
          <cell r="C786">
            <v>4300</v>
          </cell>
          <cell r="D786">
            <v>4000</v>
          </cell>
          <cell r="E786">
            <v>2396.69</v>
          </cell>
        </row>
        <row r="787">
          <cell r="A787">
            <v>1781000570</v>
          </cell>
          <cell r="B787" t="str">
            <v>מיכון ועבוד נתונים</v>
          </cell>
          <cell r="C787">
            <v>25000</v>
          </cell>
          <cell r="D787">
            <v>27960</v>
          </cell>
          <cell r="E787">
            <v>46671.27</v>
          </cell>
        </row>
        <row r="788">
          <cell r="A788">
            <v>1781000580</v>
          </cell>
          <cell r="B788" t="str">
            <v>פיקוח-הוצ' אחרות</v>
          </cell>
          <cell r="C788">
            <v>0</v>
          </cell>
          <cell r="E788">
            <v>0</v>
          </cell>
        </row>
        <row r="789">
          <cell r="A789">
            <v>1781000750</v>
          </cell>
          <cell r="B789" t="str">
            <v>עבודות קבלניות</v>
          </cell>
          <cell r="C789">
            <v>70000</v>
          </cell>
          <cell r="D789">
            <v>67900</v>
          </cell>
          <cell r="E789">
            <v>63881</v>
          </cell>
        </row>
        <row r="790">
          <cell r="A790">
            <v>1781000780</v>
          </cell>
          <cell r="B790" t="str">
            <v>הוצאות אחרות</v>
          </cell>
          <cell r="C790">
            <v>0</v>
          </cell>
          <cell r="E790">
            <v>0</v>
          </cell>
        </row>
        <row r="791">
          <cell r="A791">
            <v>1781000910</v>
          </cell>
          <cell r="B791" t="str">
            <v>בטחון השתת.בתב"ר תק.רגיל</v>
          </cell>
          <cell r="C791">
            <v>1185</v>
          </cell>
          <cell r="D791">
            <v>1185</v>
          </cell>
          <cell r="E791">
            <v>1185</v>
          </cell>
        </row>
        <row r="792">
          <cell r="A792">
            <v>1781000930</v>
          </cell>
          <cell r="B792" t="str">
            <v>רכישת ציוד יסודי</v>
          </cell>
          <cell r="C792">
            <v>0</v>
          </cell>
          <cell r="E792">
            <v>0</v>
          </cell>
        </row>
        <row r="793">
          <cell r="A793">
            <v>1781000980</v>
          </cell>
          <cell r="B793" t="str">
            <v>הוצאות אחרות</v>
          </cell>
          <cell r="C793">
            <v>0</v>
          </cell>
          <cell r="E793">
            <v>0</v>
          </cell>
        </row>
        <row r="794">
          <cell r="A794">
            <v>1781001110</v>
          </cell>
          <cell r="B794" t="str">
            <v>פיקוח משכורת</v>
          </cell>
          <cell r="C794">
            <v>0</v>
          </cell>
          <cell r="E794">
            <v>0</v>
          </cell>
        </row>
        <row r="795">
          <cell r="A795">
            <v>1781001731</v>
          </cell>
          <cell r="B795" t="str">
            <v>אופנוע 1081865</v>
          </cell>
          <cell r="C795">
            <v>0</v>
          </cell>
          <cell r="E795">
            <v>0</v>
          </cell>
        </row>
        <row r="796">
          <cell r="A796">
            <v>1781002731</v>
          </cell>
          <cell r="B796" t="str">
            <v>הוצ' רכב 80-706-50</v>
          </cell>
          <cell r="C796">
            <v>35000</v>
          </cell>
          <cell r="D796">
            <v>45000</v>
          </cell>
          <cell r="E796">
            <v>29636.07</v>
          </cell>
        </row>
        <row r="797">
          <cell r="A797">
            <v>1781003731</v>
          </cell>
          <cell r="B797" t="str">
            <v>קרון סוסים 95-062-73</v>
          </cell>
          <cell r="C797">
            <v>2000</v>
          </cell>
          <cell r="D797">
            <v>1500</v>
          </cell>
          <cell r="E797">
            <v>581</v>
          </cell>
        </row>
        <row r="798">
          <cell r="A798">
            <v>1781100110</v>
          </cell>
          <cell r="B798" t="str">
            <v>משכורת ושכר משולב</v>
          </cell>
          <cell r="C798">
            <v>935824</v>
          </cell>
          <cell r="D798">
            <v>728997</v>
          </cell>
          <cell r="E798">
            <v>639625.97</v>
          </cell>
        </row>
        <row r="799">
          <cell r="A799">
            <v>1781100442</v>
          </cell>
          <cell r="B799" t="str">
            <v>שיפוי עבור נזקים</v>
          </cell>
          <cell r="C799">
            <v>3000</v>
          </cell>
          <cell r="D799">
            <v>3000</v>
          </cell>
          <cell r="E799">
            <v>0</v>
          </cell>
        </row>
        <row r="800">
          <cell r="A800">
            <v>1781100511</v>
          </cell>
          <cell r="B800" t="str">
            <v>אירוח וכיבוד</v>
          </cell>
          <cell r="C800">
            <v>1000</v>
          </cell>
          <cell r="D800">
            <v>1000</v>
          </cell>
          <cell r="E800">
            <v>0</v>
          </cell>
        </row>
        <row r="801">
          <cell r="A801">
            <v>1781100521</v>
          </cell>
          <cell r="B801" t="str">
            <v>השתלמויות</v>
          </cell>
          <cell r="C801">
            <v>10000</v>
          </cell>
          <cell r="D801">
            <v>10000</v>
          </cell>
          <cell r="E801">
            <v>9499</v>
          </cell>
        </row>
        <row r="802">
          <cell r="A802">
            <v>1781100540</v>
          </cell>
          <cell r="B802" t="str">
            <v>הוצאות דואר</v>
          </cell>
          <cell r="C802">
            <v>0</v>
          </cell>
          <cell r="D802">
            <v>50000</v>
          </cell>
          <cell r="E802">
            <v>0</v>
          </cell>
        </row>
        <row r="803">
          <cell r="A803">
            <v>1781100570</v>
          </cell>
          <cell r="B803" t="str">
            <v>מיכון ועיבוד נתונים</v>
          </cell>
          <cell r="C803">
            <v>25000</v>
          </cell>
          <cell r="D803">
            <v>41200</v>
          </cell>
          <cell r="E803">
            <v>0</v>
          </cell>
        </row>
        <row r="804">
          <cell r="A804">
            <v>1781100743</v>
          </cell>
          <cell r="B804" t="str">
            <v>ביגוד והנעלה</v>
          </cell>
          <cell r="C804">
            <v>31000</v>
          </cell>
          <cell r="D804">
            <v>30000</v>
          </cell>
          <cell r="E804">
            <v>1833</v>
          </cell>
        </row>
        <row r="805">
          <cell r="A805">
            <v>1781100750</v>
          </cell>
          <cell r="B805" t="str">
            <v>עבודות קבלניות-מדחנים</v>
          </cell>
          <cell r="C805">
            <v>480000</v>
          </cell>
          <cell r="D805">
            <v>480000</v>
          </cell>
          <cell r="E805">
            <v>195777.97</v>
          </cell>
        </row>
        <row r="806">
          <cell r="A806">
            <v>1781100780</v>
          </cell>
          <cell r="B806" t="str">
            <v>הוצאות אחרות</v>
          </cell>
          <cell r="C806">
            <v>40000</v>
          </cell>
          <cell r="D806">
            <v>40000</v>
          </cell>
          <cell r="E806">
            <v>0</v>
          </cell>
        </row>
        <row r="807">
          <cell r="A807">
            <v>1781100930</v>
          </cell>
          <cell r="B807" t="str">
            <v>רכישת ציוד</v>
          </cell>
          <cell r="C807">
            <v>10000</v>
          </cell>
          <cell r="D807">
            <v>10000</v>
          </cell>
          <cell r="E807">
            <v>4051</v>
          </cell>
        </row>
        <row r="808">
          <cell r="A808">
            <v>1781365731</v>
          </cell>
          <cell r="B808" t="str">
            <v>אופנועים 91-94</v>
          </cell>
          <cell r="C808">
            <v>28000</v>
          </cell>
          <cell r="D808">
            <v>28500</v>
          </cell>
          <cell r="E808">
            <v>7888.82</v>
          </cell>
        </row>
        <row r="809">
          <cell r="A809">
            <v>1810000399</v>
          </cell>
          <cell r="B809" t="str">
            <v>הפרשה לדמי הבראה ומענק</v>
          </cell>
          <cell r="C809">
            <v>0</v>
          </cell>
          <cell r="E809">
            <v>0</v>
          </cell>
        </row>
        <row r="810">
          <cell r="A810">
            <v>1811000110</v>
          </cell>
          <cell r="B810" t="str">
            <v>משכורת ושכר משולבים</v>
          </cell>
          <cell r="C810">
            <v>1947913</v>
          </cell>
          <cell r="D810">
            <v>1775226</v>
          </cell>
          <cell r="E810">
            <v>1447348.58</v>
          </cell>
        </row>
        <row r="811">
          <cell r="A811">
            <v>1811000399</v>
          </cell>
          <cell r="B811" t="str">
            <v>הפרשה דמי הבראה ומענק</v>
          </cell>
          <cell r="C811">
            <v>0</v>
          </cell>
          <cell r="E811">
            <v>0</v>
          </cell>
        </row>
        <row r="812">
          <cell r="A812">
            <v>1811000422</v>
          </cell>
          <cell r="B812" t="str">
            <v>חינוך-אחזקת מבנים</v>
          </cell>
          <cell r="C812">
            <v>5000</v>
          </cell>
          <cell r="D812">
            <v>5000</v>
          </cell>
          <cell r="E812">
            <v>4800</v>
          </cell>
        </row>
        <row r="813">
          <cell r="A813">
            <v>1811000440</v>
          </cell>
          <cell r="B813" t="str">
            <v>ביטוח</v>
          </cell>
          <cell r="C813">
            <v>1009230</v>
          </cell>
          <cell r="D813">
            <v>361064</v>
          </cell>
          <cell r="E813">
            <v>523340</v>
          </cell>
        </row>
        <row r="814">
          <cell r="A814">
            <v>1811000443</v>
          </cell>
          <cell r="B814" t="str">
            <v>קרן  ביטוח</v>
          </cell>
          <cell r="C814">
            <v>5000</v>
          </cell>
          <cell r="D814">
            <v>5000</v>
          </cell>
          <cell r="E814">
            <v>0</v>
          </cell>
        </row>
        <row r="815">
          <cell r="A815">
            <v>1811000470</v>
          </cell>
          <cell r="B815" t="str">
            <v>מכשירי כתיבה והדפס</v>
          </cell>
          <cell r="C815">
            <v>15000</v>
          </cell>
          <cell r="D815">
            <v>15000</v>
          </cell>
          <cell r="E815">
            <v>6470.3</v>
          </cell>
        </row>
        <row r="816">
          <cell r="A816">
            <v>1811000511</v>
          </cell>
          <cell r="B816" t="str">
            <v>הוצאות כבוד</v>
          </cell>
          <cell r="C816">
            <v>2000</v>
          </cell>
          <cell r="D816">
            <v>2000</v>
          </cell>
          <cell r="E816">
            <v>1000</v>
          </cell>
        </row>
        <row r="817">
          <cell r="A817">
            <v>1811000512</v>
          </cell>
          <cell r="B817" t="str">
            <v>חינוך-נסיעות וחניה</v>
          </cell>
          <cell r="C817">
            <v>1000</v>
          </cell>
          <cell r="D817">
            <v>1000</v>
          </cell>
          <cell r="E817">
            <v>584</v>
          </cell>
        </row>
        <row r="818">
          <cell r="A818">
            <v>1811000540</v>
          </cell>
          <cell r="B818" t="str">
            <v>הוצאות דואר</v>
          </cell>
          <cell r="C818">
            <v>11000</v>
          </cell>
          <cell r="D818">
            <v>11000</v>
          </cell>
          <cell r="E818">
            <v>0</v>
          </cell>
        </row>
        <row r="819">
          <cell r="A819">
            <v>1811000550</v>
          </cell>
          <cell r="B819" t="str">
            <v>פרסומים</v>
          </cell>
          <cell r="C819">
            <v>5000</v>
          </cell>
          <cell r="D819">
            <v>5000</v>
          </cell>
          <cell r="E819">
            <v>0</v>
          </cell>
        </row>
        <row r="820">
          <cell r="A820">
            <v>1811000560</v>
          </cell>
          <cell r="B820" t="str">
            <v>חינוך-הוצאות משרדיות</v>
          </cell>
          <cell r="C820">
            <v>2000</v>
          </cell>
          <cell r="D820">
            <v>2000</v>
          </cell>
          <cell r="E820">
            <v>0</v>
          </cell>
        </row>
        <row r="821">
          <cell r="A821">
            <v>1811000570</v>
          </cell>
          <cell r="B821" t="str">
            <v>חינוך-מיכון</v>
          </cell>
          <cell r="C821">
            <v>82400</v>
          </cell>
          <cell r="D821">
            <v>82400</v>
          </cell>
          <cell r="E821">
            <v>64409.32</v>
          </cell>
        </row>
        <row r="822">
          <cell r="A822">
            <v>1811000571</v>
          </cell>
          <cell r="B822" t="str">
            <v>עלות שימוש בתוכנת נוכח</v>
          </cell>
          <cell r="C822">
            <v>7758</v>
          </cell>
          <cell r="D822">
            <v>7758</v>
          </cell>
          <cell r="E822">
            <v>0</v>
          </cell>
        </row>
        <row r="823">
          <cell r="A823">
            <v>1811000580</v>
          </cell>
          <cell r="B823" t="str">
            <v>חינוך-הוצ' אחרות</v>
          </cell>
          <cell r="C823">
            <v>7815</v>
          </cell>
          <cell r="D823">
            <v>7815</v>
          </cell>
          <cell r="E823">
            <v>6224.45</v>
          </cell>
        </row>
        <row r="824">
          <cell r="A824">
            <v>1811000720</v>
          </cell>
          <cell r="B824" t="str">
            <v>חומרים</v>
          </cell>
          <cell r="C824">
            <v>1000</v>
          </cell>
          <cell r="D824">
            <v>1000</v>
          </cell>
          <cell r="E824">
            <v>1320.83</v>
          </cell>
        </row>
        <row r="825">
          <cell r="A825">
            <v>1811000780</v>
          </cell>
          <cell r="B825" t="str">
            <v>הוצאות אחרות</v>
          </cell>
          <cell r="C825">
            <v>4000</v>
          </cell>
          <cell r="D825">
            <v>4000</v>
          </cell>
          <cell r="E825">
            <v>4370</v>
          </cell>
        </row>
        <row r="826">
          <cell r="A826">
            <v>1811000910</v>
          </cell>
          <cell r="B826" t="str">
            <v>חינוך השתת.בתב"ר תקציב רגיל</v>
          </cell>
          <cell r="C826">
            <v>1185</v>
          </cell>
          <cell r="D826">
            <v>28754</v>
          </cell>
          <cell r="E826">
            <v>29499</v>
          </cell>
        </row>
        <row r="827">
          <cell r="A827">
            <v>1812000314</v>
          </cell>
          <cell r="B827" t="str">
            <v>התייעלות בכח אדם</v>
          </cell>
          <cell r="C827">
            <v>0</v>
          </cell>
          <cell r="E827">
            <v>0</v>
          </cell>
        </row>
        <row r="828">
          <cell r="A828">
            <v>1812000399</v>
          </cell>
          <cell r="B828" t="str">
            <v>הפרשה להבראה ומענק יוב</v>
          </cell>
          <cell r="C828">
            <v>0</v>
          </cell>
          <cell r="E828">
            <v>0</v>
          </cell>
        </row>
        <row r="829">
          <cell r="A829">
            <v>1812200110</v>
          </cell>
          <cell r="B829" t="str">
            <v>משכורת</v>
          </cell>
          <cell r="C829">
            <v>176774</v>
          </cell>
          <cell r="D829">
            <v>176774</v>
          </cell>
          <cell r="E829">
            <v>115004.07</v>
          </cell>
        </row>
        <row r="830">
          <cell r="A830">
            <v>1812200210</v>
          </cell>
          <cell r="B830" t="str">
            <v>שכ"ע יומיים</v>
          </cell>
          <cell r="C830">
            <v>230654</v>
          </cell>
          <cell r="D830">
            <v>230654</v>
          </cell>
          <cell r="E830">
            <v>60877.85</v>
          </cell>
        </row>
        <row r="831">
          <cell r="A831">
            <v>1812200430</v>
          </cell>
          <cell r="B831" t="str">
            <v>גני ילדים</v>
          </cell>
          <cell r="C831">
            <v>416888</v>
          </cell>
          <cell r="D831">
            <v>416888</v>
          </cell>
          <cell r="E831">
            <v>226649.41</v>
          </cell>
        </row>
        <row r="832">
          <cell r="A832">
            <v>1812200540</v>
          </cell>
          <cell r="B832" t="str">
            <v>טלפונים בגני ילדים</v>
          </cell>
          <cell r="C832">
            <v>36000</v>
          </cell>
          <cell r="D832">
            <v>36000</v>
          </cell>
          <cell r="E832">
            <v>15557.39</v>
          </cell>
        </row>
        <row r="833">
          <cell r="A833">
            <v>1812200550</v>
          </cell>
          <cell r="B833" t="str">
            <v>פרסומים</v>
          </cell>
          <cell r="C833">
            <v>6000</v>
          </cell>
          <cell r="D833">
            <v>6000</v>
          </cell>
          <cell r="E833">
            <v>1508</v>
          </cell>
        </row>
        <row r="834">
          <cell r="A834">
            <v>1812200720</v>
          </cell>
          <cell r="B834" t="str">
            <v>גני ילדים_חומרים</v>
          </cell>
          <cell r="C834">
            <v>100000</v>
          </cell>
          <cell r="D834">
            <v>100000</v>
          </cell>
          <cell r="E834">
            <v>85956.88</v>
          </cell>
        </row>
        <row r="835">
          <cell r="A835">
            <v>1812200721</v>
          </cell>
          <cell r="B835" t="str">
            <v>חומרים גני ילדים</v>
          </cell>
          <cell r="C835">
            <v>35000</v>
          </cell>
          <cell r="D835">
            <v>35000</v>
          </cell>
          <cell r="E835">
            <v>34910</v>
          </cell>
        </row>
        <row r="836">
          <cell r="A836">
            <v>1812200750</v>
          </cell>
          <cell r="B836" t="str">
            <v>גני ילדים</v>
          </cell>
          <cell r="C836">
            <v>100000</v>
          </cell>
          <cell r="D836">
            <v>100000</v>
          </cell>
          <cell r="E836">
            <v>105941.64</v>
          </cell>
        </row>
        <row r="837">
          <cell r="A837">
            <v>1812200780</v>
          </cell>
          <cell r="B837" t="str">
            <v>הוצאות אחרות</v>
          </cell>
          <cell r="C837">
            <v>257000</v>
          </cell>
          <cell r="D837">
            <v>257000</v>
          </cell>
          <cell r="E837">
            <v>247002</v>
          </cell>
        </row>
        <row r="838">
          <cell r="A838">
            <v>1812200811</v>
          </cell>
          <cell r="B838" t="str">
            <v>השתתפות למרכז גנ"י מעי</v>
          </cell>
          <cell r="C838">
            <v>325000</v>
          </cell>
          <cell r="D838">
            <v>325000</v>
          </cell>
          <cell r="E838">
            <v>325000</v>
          </cell>
        </row>
        <row r="839">
          <cell r="A839">
            <v>1812200910</v>
          </cell>
          <cell r="B839" t="str">
            <v>העברה לתקציב בלתי רגיל</v>
          </cell>
          <cell r="C839">
            <v>0</v>
          </cell>
          <cell r="E839">
            <v>0</v>
          </cell>
        </row>
        <row r="840">
          <cell r="A840">
            <v>1812200930</v>
          </cell>
          <cell r="B840" t="str">
            <v>רכישת ציוד יסודי</v>
          </cell>
          <cell r="C840">
            <v>10000</v>
          </cell>
          <cell r="D840">
            <v>10000</v>
          </cell>
          <cell r="E840">
            <v>10000</v>
          </cell>
        </row>
        <row r="841">
          <cell r="A841">
            <v>1812201560</v>
          </cell>
          <cell r="B841" t="str">
            <v>ציוד משרדי</v>
          </cell>
          <cell r="C841">
            <v>3000</v>
          </cell>
          <cell r="D841">
            <v>3000</v>
          </cell>
          <cell r="E841">
            <v>1027.8599999999999</v>
          </cell>
        </row>
        <row r="842">
          <cell r="A842">
            <v>1812201780</v>
          </cell>
          <cell r="B842" t="str">
            <v>הוצאות אחרות-המרכז לגיל הרך</v>
          </cell>
          <cell r="C842">
            <v>277000</v>
          </cell>
          <cell r="D842">
            <v>277000</v>
          </cell>
          <cell r="E842">
            <v>19096.05</v>
          </cell>
        </row>
        <row r="843">
          <cell r="A843">
            <v>1812210110</v>
          </cell>
          <cell r="B843" t="str">
            <v>שכר עוזרות לגננות</v>
          </cell>
          <cell r="C843">
            <v>5488027</v>
          </cell>
          <cell r="D843">
            <v>5488027</v>
          </cell>
          <cell r="E843">
            <v>4467642.3</v>
          </cell>
        </row>
        <row r="844">
          <cell r="A844">
            <v>1812210210</v>
          </cell>
          <cell r="B844" t="str">
            <v>משכורת גנ"י ע.ג.</v>
          </cell>
          <cell r="C844">
            <v>1573959</v>
          </cell>
          <cell r="D844">
            <v>1573959</v>
          </cell>
          <cell r="E844">
            <v>1507631.36</v>
          </cell>
        </row>
        <row r="845">
          <cell r="A845">
            <v>1812210760</v>
          </cell>
          <cell r="B845" t="str">
            <v>גננות עובדות מדינה</v>
          </cell>
          <cell r="C845">
            <v>4727931</v>
          </cell>
          <cell r="D845">
            <v>4727931</v>
          </cell>
          <cell r="E845">
            <v>3457368.69</v>
          </cell>
        </row>
        <row r="846">
          <cell r="A846">
            <v>1812220760</v>
          </cell>
          <cell r="B846" t="str">
            <v>שכר גננות עובדות מדינה לא עודפות</v>
          </cell>
          <cell r="C846">
            <v>2800000</v>
          </cell>
          <cell r="D846">
            <v>2800000</v>
          </cell>
          <cell r="E846">
            <v>2028092</v>
          </cell>
        </row>
        <row r="847">
          <cell r="A847">
            <v>1812500210</v>
          </cell>
          <cell r="B847" t="str">
            <v>פנימיות יום-גנ"י-שכר</v>
          </cell>
          <cell r="C847">
            <v>0</v>
          </cell>
          <cell r="E847">
            <v>0</v>
          </cell>
        </row>
        <row r="848">
          <cell r="A848">
            <v>1812500780</v>
          </cell>
          <cell r="B848" t="str">
            <v>פנימיות יום-גנ"י-הוצ.א</v>
          </cell>
          <cell r="C848">
            <v>1100376</v>
          </cell>
          <cell r="D848">
            <v>1100376</v>
          </cell>
          <cell r="E848">
            <v>776456.38</v>
          </cell>
        </row>
        <row r="849">
          <cell r="A849">
            <v>1812501780</v>
          </cell>
          <cell r="B849" t="str">
            <v>פנימיות יום-מיל"ת</v>
          </cell>
          <cell r="C849">
            <v>2185000</v>
          </cell>
          <cell r="D849">
            <v>2185000</v>
          </cell>
          <cell r="E849">
            <v>1262937.44</v>
          </cell>
        </row>
        <row r="850">
          <cell r="A850">
            <v>1812800210</v>
          </cell>
          <cell r="B850" t="str">
            <v>שכר תוכנית מעברים</v>
          </cell>
          <cell r="C850">
            <v>0</v>
          </cell>
          <cell r="E850">
            <v>0.81</v>
          </cell>
        </row>
        <row r="851">
          <cell r="A851">
            <v>1813200430</v>
          </cell>
          <cell r="B851" t="str">
            <v>מאור כח חימום מים</v>
          </cell>
          <cell r="C851">
            <v>1155000</v>
          </cell>
          <cell r="D851">
            <v>1155000</v>
          </cell>
          <cell r="E851">
            <v>816724.32</v>
          </cell>
        </row>
        <row r="852">
          <cell r="A852">
            <v>1813200470</v>
          </cell>
          <cell r="B852" t="str">
            <v>מכשירי כתיבה והדפסות</v>
          </cell>
          <cell r="C852">
            <v>25000</v>
          </cell>
          <cell r="D852">
            <v>25000</v>
          </cell>
          <cell r="E852">
            <v>25117</v>
          </cell>
        </row>
        <row r="853">
          <cell r="A853">
            <v>1813200540</v>
          </cell>
          <cell r="B853" t="str">
            <v>טלפונים ואינטרנט</v>
          </cell>
          <cell r="C853">
            <v>25000</v>
          </cell>
          <cell r="D853">
            <v>25000</v>
          </cell>
          <cell r="E853">
            <v>25604</v>
          </cell>
        </row>
        <row r="854">
          <cell r="A854">
            <v>1813200720</v>
          </cell>
          <cell r="B854" t="str">
            <v>חמרים</v>
          </cell>
          <cell r="C854">
            <v>150000</v>
          </cell>
          <cell r="D854">
            <v>150000</v>
          </cell>
          <cell r="E854">
            <v>157817</v>
          </cell>
        </row>
        <row r="855">
          <cell r="A855">
            <v>1813200721</v>
          </cell>
          <cell r="B855" t="str">
            <v>חמרים-התחשבנות</v>
          </cell>
          <cell r="C855">
            <v>375000</v>
          </cell>
          <cell r="D855">
            <v>375000</v>
          </cell>
          <cell r="E855">
            <v>380593</v>
          </cell>
        </row>
        <row r="856">
          <cell r="A856">
            <v>1813200722</v>
          </cell>
          <cell r="B856" t="str">
            <v>מפעל  הזנה</v>
          </cell>
          <cell r="C856">
            <v>0</v>
          </cell>
          <cell r="E856">
            <v>0</v>
          </cell>
        </row>
        <row r="857">
          <cell r="A857">
            <v>1813200750</v>
          </cell>
          <cell r="B857" t="str">
            <v>עבודות קבלניות</v>
          </cell>
          <cell r="C857">
            <v>380000</v>
          </cell>
          <cell r="D857">
            <v>380000</v>
          </cell>
          <cell r="E857">
            <v>362998.51</v>
          </cell>
        </row>
        <row r="858">
          <cell r="A858">
            <v>1813200780</v>
          </cell>
          <cell r="B858" t="str">
            <v>הוצאות אחרות</v>
          </cell>
          <cell r="C858">
            <v>25000</v>
          </cell>
          <cell r="D858">
            <v>25000</v>
          </cell>
          <cell r="E858">
            <v>26436</v>
          </cell>
        </row>
        <row r="859">
          <cell r="A859">
            <v>1813200910</v>
          </cell>
          <cell r="B859" t="str">
            <v>העברה מתקציב בלתי רגיל</v>
          </cell>
          <cell r="C859">
            <v>0</v>
          </cell>
          <cell r="E859">
            <v>0</v>
          </cell>
        </row>
        <row r="860">
          <cell r="A860">
            <v>1813200980</v>
          </cell>
          <cell r="B860" t="str">
            <v>תוכניות חינוכיות</v>
          </cell>
          <cell r="C860">
            <v>1563000</v>
          </cell>
          <cell r="D860">
            <v>1535431</v>
          </cell>
          <cell r="E860">
            <v>927449</v>
          </cell>
        </row>
        <row r="861">
          <cell r="A861">
            <v>1813201750</v>
          </cell>
          <cell r="B861" t="str">
            <v>שיפוצי קיץ מוס"ח</v>
          </cell>
          <cell r="C861">
            <v>264617</v>
          </cell>
          <cell r="D861">
            <v>264616.8</v>
          </cell>
          <cell r="E861">
            <v>264628</v>
          </cell>
        </row>
        <row r="862">
          <cell r="A862">
            <v>1813204110</v>
          </cell>
          <cell r="B862" t="str">
            <v>משכ' מזכירים - יסודי</v>
          </cell>
          <cell r="C862">
            <v>1155123</v>
          </cell>
          <cell r="D862">
            <v>1155123</v>
          </cell>
          <cell r="E862">
            <v>913405.87</v>
          </cell>
        </row>
        <row r="863">
          <cell r="A863">
            <v>1813204210</v>
          </cell>
          <cell r="B863" t="str">
            <v>משכורת</v>
          </cell>
          <cell r="C863">
            <v>58550</v>
          </cell>
          <cell r="D863">
            <v>58550</v>
          </cell>
          <cell r="E863">
            <v>40586.22</v>
          </cell>
        </row>
        <row r="864">
          <cell r="A864">
            <v>1813205110</v>
          </cell>
          <cell r="B864" t="str">
            <v>משכ' שרתים - יסודי</v>
          </cell>
          <cell r="C864">
            <v>1159184</v>
          </cell>
          <cell r="D864">
            <v>1159184</v>
          </cell>
          <cell r="E864">
            <v>886005.1</v>
          </cell>
        </row>
        <row r="865">
          <cell r="A865">
            <v>1813205210</v>
          </cell>
          <cell r="B865" t="str">
            <v>בה"ס שרתים</v>
          </cell>
          <cell r="C865">
            <v>76576</v>
          </cell>
          <cell r="D865">
            <v>76576</v>
          </cell>
          <cell r="E865">
            <v>63588.9</v>
          </cell>
        </row>
        <row r="866">
          <cell r="A866">
            <v>1813205750</v>
          </cell>
          <cell r="B866" t="str">
            <v>עבודות קבלניות שרתים</v>
          </cell>
          <cell r="C866">
            <v>0</v>
          </cell>
          <cell r="E866">
            <v>0</v>
          </cell>
        </row>
        <row r="867">
          <cell r="A867">
            <v>1813205760</v>
          </cell>
          <cell r="B867" t="str">
            <v>ברכת ישראל  יו"חא</v>
          </cell>
          <cell r="C867">
            <v>75000</v>
          </cell>
          <cell r="D867">
            <v>75000</v>
          </cell>
          <cell r="E867">
            <v>75000</v>
          </cell>
        </row>
        <row r="868">
          <cell r="A868">
            <v>1813205780</v>
          </cell>
          <cell r="B868" t="str">
            <v>ברכת ישראל</v>
          </cell>
          <cell r="C868">
            <v>300000</v>
          </cell>
          <cell r="D868">
            <v>300000</v>
          </cell>
          <cell r="E868">
            <v>300000</v>
          </cell>
        </row>
        <row r="869">
          <cell r="A869">
            <v>1813205781</v>
          </cell>
          <cell r="B869" t="str">
            <v>בית ספר טרה סנטה</v>
          </cell>
          <cell r="C869">
            <v>60000</v>
          </cell>
          <cell r="D869">
            <v>60000</v>
          </cell>
          <cell r="E869">
            <v>0</v>
          </cell>
        </row>
        <row r="870">
          <cell r="A870">
            <v>1813211110</v>
          </cell>
          <cell r="B870" t="str">
            <v>משכ' ע.נקיון - יסודי</v>
          </cell>
          <cell r="C870">
            <v>322669</v>
          </cell>
          <cell r="D870">
            <v>322669</v>
          </cell>
          <cell r="E870">
            <v>236417.08</v>
          </cell>
        </row>
        <row r="871">
          <cell r="A871">
            <v>1813211750</v>
          </cell>
          <cell r="B871" t="str">
            <v>נקיון בתי"ס יסודיים</v>
          </cell>
          <cell r="C871">
            <v>1044750</v>
          </cell>
          <cell r="D871">
            <v>1044750</v>
          </cell>
          <cell r="E871">
            <v>688264</v>
          </cell>
        </row>
        <row r="872">
          <cell r="A872">
            <v>1813213110</v>
          </cell>
          <cell r="B872" t="str">
            <v>משכ' סייעות - יסודי</v>
          </cell>
          <cell r="C872">
            <v>1389703</v>
          </cell>
          <cell r="D872">
            <v>1389703</v>
          </cell>
          <cell r="E872">
            <v>863528.15</v>
          </cell>
        </row>
        <row r="873">
          <cell r="A873">
            <v>1813213210</v>
          </cell>
          <cell r="B873" t="str">
            <v>משכ' סייעות</v>
          </cell>
          <cell r="C873">
            <v>926890</v>
          </cell>
          <cell r="D873">
            <v>926890</v>
          </cell>
          <cell r="E873">
            <v>623583.71</v>
          </cell>
        </row>
        <row r="874">
          <cell r="A874">
            <v>1813214210</v>
          </cell>
          <cell r="B874" t="str">
            <v>שכר תוכנית התקשוב הלאומית</v>
          </cell>
          <cell r="C874">
            <v>0</v>
          </cell>
          <cell r="E874">
            <v>0</v>
          </cell>
        </row>
        <row r="875">
          <cell r="A875">
            <v>1813300430</v>
          </cell>
          <cell r="B875" t="str">
            <v>אחזקת מזגנים</v>
          </cell>
          <cell r="C875">
            <v>5000</v>
          </cell>
          <cell r="D875">
            <v>5000</v>
          </cell>
          <cell r="E875">
            <v>5000</v>
          </cell>
        </row>
        <row r="876">
          <cell r="A876">
            <v>1813300721</v>
          </cell>
          <cell r="B876" t="str">
            <v>הזנה ביה"ס ניצנים</v>
          </cell>
          <cell r="C876">
            <v>180000</v>
          </cell>
          <cell r="D876">
            <v>180000</v>
          </cell>
          <cell r="E876">
            <v>116464.06</v>
          </cell>
        </row>
        <row r="877">
          <cell r="A877">
            <v>1813300780</v>
          </cell>
          <cell r="B877" t="str">
            <v>חנ"מ-הוצ' אחרות</v>
          </cell>
          <cell r="C877">
            <v>20000</v>
          </cell>
          <cell r="D877">
            <v>20000</v>
          </cell>
          <cell r="E877">
            <v>21761</v>
          </cell>
        </row>
        <row r="878">
          <cell r="A878">
            <v>1813304110</v>
          </cell>
          <cell r="B878" t="str">
            <v>משכורת</v>
          </cell>
          <cell r="C878">
            <v>175173</v>
          </cell>
          <cell r="D878">
            <v>175173</v>
          </cell>
          <cell r="E878">
            <v>132405.59</v>
          </cell>
        </row>
        <row r="879">
          <cell r="A879">
            <v>1813305110</v>
          </cell>
          <cell r="B879" t="str">
            <v>משכורת_שרתים חנ"מ</v>
          </cell>
          <cell r="C879">
            <v>193025</v>
          </cell>
          <cell r="D879">
            <v>193025</v>
          </cell>
          <cell r="E879">
            <v>147917</v>
          </cell>
        </row>
        <row r="880">
          <cell r="A880">
            <v>1813311750</v>
          </cell>
          <cell r="B880" t="str">
            <v>נקיון חנ"מ</v>
          </cell>
          <cell r="C880">
            <v>232055</v>
          </cell>
          <cell r="D880">
            <v>232055</v>
          </cell>
          <cell r="E880">
            <v>138519</v>
          </cell>
        </row>
        <row r="881">
          <cell r="A881">
            <v>1813313110</v>
          </cell>
          <cell r="B881" t="str">
            <v>משכ' סייעות - חנ"מ</v>
          </cell>
          <cell r="C881">
            <v>1948039</v>
          </cell>
          <cell r="D881">
            <v>1948039</v>
          </cell>
          <cell r="E881">
            <v>1551646.2</v>
          </cell>
        </row>
        <row r="882">
          <cell r="A882">
            <v>1813313210</v>
          </cell>
          <cell r="B882" t="str">
            <v>משכורת ביה"ס חנ"מ</v>
          </cell>
          <cell r="C882">
            <v>336301</v>
          </cell>
          <cell r="D882">
            <v>336301</v>
          </cell>
          <cell r="E882">
            <v>326576.90000000002</v>
          </cell>
        </row>
        <row r="883">
          <cell r="A883">
            <v>1813317780</v>
          </cell>
          <cell r="B883" t="str">
            <v>ילדי חוץ</v>
          </cell>
          <cell r="C883">
            <v>1150000</v>
          </cell>
          <cell r="D883">
            <v>1150000</v>
          </cell>
          <cell r="E883">
            <v>1230077</v>
          </cell>
        </row>
        <row r="884">
          <cell r="A884">
            <v>1813700750</v>
          </cell>
          <cell r="B884" t="str">
            <v>מ.ימי-עבודות קבלניות</v>
          </cell>
          <cell r="C884">
            <v>69000</v>
          </cell>
          <cell r="D884">
            <v>69000</v>
          </cell>
          <cell r="E884">
            <v>32921.919999999998</v>
          </cell>
        </row>
        <row r="885">
          <cell r="A885">
            <v>1813700780</v>
          </cell>
          <cell r="B885" t="str">
            <v>כללי דלק ושמנים 8680200</v>
          </cell>
          <cell r="C885">
            <v>1500</v>
          </cell>
          <cell r="D885">
            <v>2000</v>
          </cell>
          <cell r="E885">
            <v>937</v>
          </cell>
        </row>
        <row r="886">
          <cell r="A886">
            <v>1813705110</v>
          </cell>
          <cell r="B886" t="str">
            <v>משכ' שרתים</v>
          </cell>
          <cell r="C886">
            <v>113375</v>
          </cell>
          <cell r="D886">
            <v>113375</v>
          </cell>
          <cell r="E886">
            <v>90950.77</v>
          </cell>
        </row>
        <row r="887">
          <cell r="A887">
            <v>1815200810</v>
          </cell>
          <cell r="B887" t="str">
            <v>פר"ח -השתתפות</v>
          </cell>
          <cell r="C887">
            <v>38530</v>
          </cell>
          <cell r="D887">
            <v>38530</v>
          </cell>
          <cell r="E887">
            <v>38350</v>
          </cell>
        </row>
        <row r="888">
          <cell r="A888">
            <v>1815700810</v>
          </cell>
          <cell r="B888" t="str">
            <v>השתתפות באורט-מקיף_ערבי</v>
          </cell>
          <cell r="C888">
            <v>60000</v>
          </cell>
          <cell r="D888">
            <v>60000</v>
          </cell>
          <cell r="E888">
            <v>30000</v>
          </cell>
        </row>
        <row r="889">
          <cell r="A889">
            <v>1815700910</v>
          </cell>
          <cell r="B889" t="str">
            <v>העברה לתקציב בלתי רגיל</v>
          </cell>
          <cell r="C889">
            <v>0</v>
          </cell>
          <cell r="E889">
            <v>0</v>
          </cell>
        </row>
        <row r="890">
          <cell r="A890">
            <v>1815701110</v>
          </cell>
          <cell r="B890" t="str">
            <v>משכ' מורים - מ.ערבי</v>
          </cell>
          <cell r="C890">
            <v>0</v>
          </cell>
          <cell r="E890">
            <v>0</v>
          </cell>
        </row>
        <row r="891">
          <cell r="A891">
            <v>1815701810</v>
          </cell>
          <cell r="B891" t="str">
            <v>השתתפות באורט מקיף ערבי</v>
          </cell>
          <cell r="C891">
            <v>12000000</v>
          </cell>
          <cell r="D891">
            <v>12000000</v>
          </cell>
          <cell r="E891">
            <v>12000000</v>
          </cell>
        </row>
        <row r="892">
          <cell r="A892">
            <v>1815710810</v>
          </cell>
          <cell r="B892" t="str">
            <v>השתתפות מרכז קהילתי יה</v>
          </cell>
          <cell r="C892">
            <v>0</v>
          </cell>
          <cell r="E892">
            <v>0</v>
          </cell>
        </row>
        <row r="893">
          <cell r="A893">
            <v>1815730422</v>
          </cell>
          <cell r="B893" t="str">
            <v>אחזקת מבנים</v>
          </cell>
          <cell r="C893">
            <v>13000</v>
          </cell>
          <cell r="D893">
            <v>13000</v>
          </cell>
          <cell r="E893">
            <v>13000</v>
          </cell>
        </row>
        <row r="894">
          <cell r="A894">
            <v>1815777780</v>
          </cell>
          <cell r="B894" t="str">
            <v>קרית חינוך אורט</v>
          </cell>
          <cell r="C894">
            <v>1069469</v>
          </cell>
          <cell r="D894">
            <v>1069469</v>
          </cell>
          <cell r="E894">
            <v>534734</v>
          </cell>
        </row>
        <row r="895">
          <cell r="A895">
            <v>1815777781</v>
          </cell>
          <cell r="B895" t="str">
            <v>קרית חינוך אורט</v>
          </cell>
          <cell r="C895">
            <v>16000000</v>
          </cell>
          <cell r="D895">
            <v>16000000</v>
          </cell>
          <cell r="E895">
            <v>16000000</v>
          </cell>
        </row>
        <row r="896">
          <cell r="A896">
            <v>1815788110</v>
          </cell>
          <cell r="B896" t="str">
            <v>משכ..רשת אמית</v>
          </cell>
          <cell r="C896">
            <v>413676</v>
          </cell>
          <cell r="D896">
            <v>413676</v>
          </cell>
          <cell r="E896">
            <v>224927.52</v>
          </cell>
        </row>
        <row r="897">
          <cell r="A897">
            <v>1815788780</v>
          </cell>
          <cell r="B897" t="str">
            <v>תיכון דתי אמי"ת</v>
          </cell>
          <cell r="C897">
            <v>306324</v>
          </cell>
          <cell r="D897">
            <v>306324</v>
          </cell>
          <cell r="E897">
            <v>153790.57999999999</v>
          </cell>
        </row>
        <row r="898">
          <cell r="A898">
            <v>1815788781</v>
          </cell>
          <cell r="B898" t="str">
            <v>השתתפות אמית</v>
          </cell>
          <cell r="C898">
            <v>7000000</v>
          </cell>
          <cell r="D898">
            <v>7000000</v>
          </cell>
          <cell r="E898">
            <v>7000000</v>
          </cell>
        </row>
        <row r="899">
          <cell r="A899">
            <v>1817000752</v>
          </cell>
          <cell r="B899" t="str">
            <v>התייעלות בפעולות חינוך</v>
          </cell>
          <cell r="C899">
            <v>0</v>
          </cell>
          <cell r="E899">
            <v>0</v>
          </cell>
        </row>
        <row r="900">
          <cell r="A900">
            <v>1817000980</v>
          </cell>
          <cell r="B900" t="str">
            <v>הוצאות אחרות בלתי רגילות</v>
          </cell>
          <cell r="C900">
            <v>1010000</v>
          </cell>
          <cell r="D900">
            <v>1010000</v>
          </cell>
          <cell r="E900">
            <v>887180.38</v>
          </cell>
        </row>
        <row r="901">
          <cell r="A901">
            <v>1817100110</v>
          </cell>
          <cell r="B901" t="str">
            <v>משכ' - קב"ט</v>
          </cell>
          <cell r="C901">
            <v>251664</v>
          </cell>
          <cell r="D901">
            <v>251664</v>
          </cell>
          <cell r="E901">
            <v>183973.71</v>
          </cell>
        </row>
        <row r="902">
          <cell r="A902">
            <v>1817100750</v>
          </cell>
          <cell r="B902" t="str">
            <v>ע.קבלניות-שמירה בתי"ס</v>
          </cell>
          <cell r="C902">
            <v>1531422</v>
          </cell>
          <cell r="D902">
            <v>1531422</v>
          </cell>
          <cell r="E902">
            <v>897955.81</v>
          </cell>
        </row>
        <row r="903">
          <cell r="A903">
            <v>1817200110</v>
          </cell>
          <cell r="B903" t="str">
            <v>משכ' - מרפ"ד</v>
          </cell>
          <cell r="C903">
            <v>152517</v>
          </cell>
          <cell r="D903">
            <v>152517</v>
          </cell>
          <cell r="E903">
            <v>137253.31</v>
          </cell>
        </row>
        <row r="904">
          <cell r="A904">
            <v>1817200540</v>
          </cell>
          <cell r="B904" t="str">
            <v>מרפד הוצאות טלפון</v>
          </cell>
          <cell r="C904">
            <v>8000</v>
          </cell>
          <cell r="D904">
            <v>8000</v>
          </cell>
          <cell r="E904">
            <v>2075.25</v>
          </cell>
        </row>
        <row r="905">
          <cell r="A905">
            <v>1817200780</v>
          </cell>
          <cell r="B905" t="str">
            <v>מרפ"ד הוצאות שונות</v>
          </cell>
          <cell r="C905">
            <v>8000</v>
          </cell>
          <cell r="D905">
            <v>8000</v>
          </cell>
          <cell r="E905">
            <v>2937.46</v>
          </cell>
        </row>
        <row r="906">
          <cell r="A906">
            <v>1817300110</v>
          </cell>
          <cell r="B906" t="str">
            <v>משכורת ושכר משולבים</v>
          </cell>
          <cell r="C906">
            <v>1552361</v>
          </cell>
          <cell r="D906">
            <v>1552361</v>
          </cell>
          <cell r="E906">
            <v>1156018.3999999999</v>
          </cell>
        </row>
        <row r="907">
          <cell r="A907">
            <v>1817300430</v>
          </cell>
          <cell r="B907" t="str">
            <v>מאור כח חימום מים</v>
          </cell>
          <cell r="C907">
            <v>18000</v>
          </cell>
          <cell r="D907">
            <v>18000</v>
          </cell>
          <cell r="E907">
            <v>16866.2</v>
          </cell>
        </row>
        <row r="908">
          <cell r="A908">
            <v>1817300470</v>
          </cell>
          <cell r="B908" t="str">
            <v>מכשירי כתיבה והדפס</v>
          </cell>
          <cell r="C908">
            <v>3000</v>
          </cell>
          <cell r="D908">
            <v>3000</v>
          </cell>
          <cell r="E908">
            <v>2348.09</v>
          </cell>
        </row>
        <row r="909">
          <cell r="A909">
            <v>1817300511</v>
          </cell>
          <cell r="B909" t="str">
            <v>הוצאות כבוד</v>
          </cell>
          <cell r="C909">
            <v>1500</v>
          </cell>
          <cell r="D909">
            <v>1500</v>
          </cell>
          <cell r="E909">
            <v>0</v>
          </cell>
        </row>
        <row r="910">
          <cell r="A910">
            <v>1817300521</v>
          </cell>
          <cell r="B910" t="str">
            <v>שפ"י-השתלמויות</v>
          </cell>
          <cell r="C910">
            <v>55334</v>
          </cell>
          <cell r="D910">
            <v>55334</v>
          </cell>
          <cell r="E910">
            <v>29006</v>
          </cell>
        </row>
        <row r="911">
          <cell r="A911">
            <v>1817300540</v>
          </cell>
          <cell r="B911" t="str">
            <v>בולים טלפון ומברקים</v>
          </cell>
          <cell r="C911">
            <v>11000</v>
          </cell>
          <cell r="D911">
            <v>11000</v>
          </cell>
          <cell r="E911">
            <v>7122.07</v>
          </cell>
        </row>
        <row r="912">
          <cell r="A912">
            <v>1817300720</v>
          </cell>
          <cell r="B912" t="str">
            <v>חמרים</v>
          </cell>
          <cell r="C912">
            <v>1000</v>
          </cell>
          <cell r="D912">
            <v>1000</v>
          </cell>
          <cell r="E912">
            <v>682.75</v>
          </cell>
        </row>
        <row r="913">
          <cell r="A913">
            <v>1817300750</v>
          </cell>
          <cell r="B913" t="str">
            <v>עבודות קבלניות</v>
          </cell>
          <cell r="C913">
            <v>5000</v>
          </cell>
          <cell r="D913">
            <v>5000</v>
          </cell>
          <cell r="E913">
            <v>3300</v>
          </cell>
        </row>
        <row r="914">
          <cell r="A914">
            <v>1817300780</v>
          </cell>
          <cell r="B914" t="str">
            <v>הוצאות אחרות</v>
          </cell>
          <cell r="C914">
            <v>5000</v>
          </cell>
          <cell r="D914">
            <v>5000</v>
          </cell>
          <cell r="E914">
            <v>3854.58</v>
          </cell>
        </row>
        <row r="915">
          <cell r="A915">
            <v>1817304110</v>
          </cell>
          <cell r="B915" t="str">
            <v>משכ' מזכירים - שפ"י</v>
          </cell>
          <cell r="C915">
            <v>156713</v>
          </cell>
          <cell r="D915">
            <v>156713</v>
          </cell>
          <cell r="E915">
            <v>124408.98</v>
          </cell>
        </row>
        <row r="916">
          <cell r="A916">
            <v>1817311110</v>
          </cell>
          <cell r="B916" t="str">
            <v>משכ' ע.נקיון - שפ"י</v>
          </cell>
          <cell r="C916">
            <v>64111</v>
          </cell>
          <cell r="D916">
            <v>64111</v>
          </cell>
          <cell r="E916">
            <v>50566.57</v>
          </cell>
        </row>
        <row r="917">
          <cell r="A917">
            <v>1817500760</v>
          </cell>
          <cell r="B917" t="str">
            <v>ביטוח תאונות אישיות</v>
          </cell>
          <cell r="C917">
            <v>198662</v>
          </cell>
          <cell r="D917">
            <v>207000</v>
          </cell>
          <cell r="E917">
            <v>116892</v>
          </cell>
        </row>
        <row r="918">
          <cell r="A918">
            <v>1817600110</v>
          </cell>
          <cell r="B918" t="str">
            <v>משכורת ושכר משולבים</v>
          </cell>
          <cell r="C918">
            <v>324803</v>
          </cell>
          <cell r="D918">
            <v>324803</v>
          </cell>
          <cell r="E918">
            <v>249927.31</v>
          </cell>
        </row>
        <row r="919">
          <cell r="A919">
            <v>1817600780</v>
          </cell>
          <cell r="B919" t="str">
            <v>הוצאות אחרות</v>
          </cell>
          <cell r="C919">
            <v>0</v>
          </cell>
          <cell r="E919">
            <v>0</v>
          </cell>
        </row>
        <row r="920">
          <cell r="A920">
            <v>1817600980</v>
          </cell>
          <cell r="B920" t="str">
            <v>רווחה חינוכית-הוצ' אחר</v>
          </cell>
          <cell r="C920">
            <v>912563</v>
          </cell>
          <cell r="D920">
            <v>912563</v>
          </cell>
          <cell r="E920">
            <v>532200</v>
          </cell>
        </row>
        <row r="921">
          <cell r="A921">
            <v>1817613110</v>
          </cell>
          <cell r="B921" t="str">
            <v>משכ' סייעות - ר.חינוכי</v>
          </cell>
          <cell r="C921">
            <v>0</v>
          </cell>
          <cell r="E921">
            <v>0</v>
          </cell>
        </row>
        <row r="922">
          <cell r="A922">
            <v>1817622110</v>
          </cell>
          <cell r="B922" t="str">
            <v>משכורת רווחה חינוכית</v>
          </cell>
          <cell r="C922">
            <v>0</v>
          </cell>
          <cell r="E922">
            <v>0</v>
          </cell>
        </row>
        <row r="923">
          <cell r="A923">
            <v>1817622210</v>
          </cell>
          <cell r="B923" t="str">
            <v>משכורת_רווחה חינוכית</v>
          </cell>
          <cell r="C923">
            <v>208960</v>
          </cell>
          <cell r="D923">
            <v>208960</v>
          </cell>
          <cell r="E923">
            <v>260787.48</v>
          </cell>
        </row>
        <row r="924">
          <cell r="A924">
            <v>1817700110</v>
          </cell>
          <cell r="B924" t="str">
            <v>משכ' - קבסי"ם</v>
          </cell>
          <cell r="C924">
            <v>647837</v>
          </cell>
          <cell r="D924">
            <v>647837</v>
          </cell>
          <cell r="E924">
            <v>482213.75</v>
          </cell>
        </row>
        <row r="925">
          <cell r="A925">
            <v>1817700721</v>
          </cell>
          <cell r="B925" t="str">
            <v>מזון למועדוניות</v>
          </cell>
          <cell r="C925">
            <v>0</v>
          </cell>
          <cell r="E925">
            <v>0</v>
          </cell>
        </row>
        <row r="926">
          <cell r="A926">
            <v>1817700780</v>
          </cell>
          <cell r="B926" t="str">
            <v>קב"סים</v>
          </cell>
          <cell r="C926">
            <v>5000</v>
          </cell>
          <cell r="D926">
            <v>5000</v>
          </cell>
          <cell r="E926">
            <v>4980</v>
          </cell>
        </row>
        <row r="927">
          <cell r="A927">
            <v>1817700930</v>
          </cell>
          <cell r="B927" t="str">
            <v>מועדוניות</v>
          </cell>
          <cell r="C927">
            <v>0</v>
          </cell>
          <cell r="E927">
            <v>630.36</v>
          </cell>
        </row>
        <row r="928">
          <cell r="A928">
            <v>1817701110</v>
          </cell>
          <cell r="B928" t="str">
            <v>שכר מגשרת עולים</v>
          </cell>
          <cell r="C928">
            <v>116894</v>
          </cell>
          <cell r="D928">
            <v>116894</v>
          </cell>
          <cell r="E928">
            <v>100107.19</v>
          </cell>
        </row>
        <row r="929">
          <cell r="A929">
            <v>1817710110</v>
          </cell>
          <cell r="B929" t="str">
            <v>מועדונית מדע ועמדה</v>
          </cell>
          <cell r="C929">
            <v>30000</v>
          </cell>
          <cell r="D929">
            <v>30000</v>
          </cell>
          <cell r="E929">
            <v>11851.08</v>
          </cell>
        </row>
        <row r="930">
          <cell r="A930">
            <v>1817710721</v>
          </cell>
          <cell r="B930" t="str">
            <v>מועדונית מדע ועמדה -ת.לאומית</v>
          </cell>
          <cell r="C930">
            <v>214841</v>
          </cell>
          <cell r="D930">
            <v>214841</v>
          </cell>
          <cell r="E930">
            <v>34750</v>
          </cell>
        </row>
        <row r="931">
          <cell r="A931">
            <v>1817711110</v>
          </cell>
          <cell r="B931" t="str">
            <v>משכ.מועדוניות פ.ניקיון</v>
          </cell>
          <cell r="C931">
            <v>57615</v>
          </cell>
          <cell r="D931">
            <v>57615</v>
          </cell>
          <cell r="E931">
            <v>48632.639999999999</v>
          </cell>
        </row>
        <row r="932">
          <cell r="A932">
            <v>1817727110</v>
          </cell>
          <cell r="B932" t="str">
            <v>משכ.מועדוניות אם בית</v>
          </cell>
          <cell r="C932">
            <v>86761</v>
          </cell>
          <cell r="D932">
            <v>86761</v>
          </cell>
          <cell r="E932">
            <v>70371.28</v>
          </cell>
        </row>
        <row r="933">
          <cell r="A933">
            <v>1817728110</v>
          </cell>
          <cell r="B933" t="str">
            <v>משכ. מועדוניות מדריכים</v>
          </cell>
          <cell r="C933">
            <v>169918</v>
          </cell>
          <cell r="D933">
            <v>169918</v>
          </cell>
          <cell r="E933">
            <v>132950.37</v>
          </cell>
        </row>
        <row r="934">
          <cell r="A934">
            <v>1817800110</v>
          </cell>
          <cell r="B934" t="str">
            <v>משכורת מלווה</v>
          </cell>
          <cell r="C934">
            <v>0</v>
          </cell>
          <cell r="E934">
            <v>37890.589999999997</v>
          </cell>
        </row>
        <row r="935">
          <cell r="A935">
            <v>1817800210</v>
          </cell>
          <cell r="B935" t="str">
            <v>משכ' הסעות - מלווה חנ"</v>
          </cell>
          <cell r="C935">
            <v>1356473</v>
          </cell>
          <cell r="D935">
            <v>1356473</v>
          </cell>
          <cell r="E935">
            <v>1168617.23</v>
          </cell>
        </row>
        <row r="936">
          <cell r="A936">
            <v>1817800510</v>
          </cell>
          <cell r="B936" t="str">
            <v>הסעות</v>
          </cell>
          <cell r="C936">
            <v>4780160</v>
          </cell>
          <cell r="D936">
            <v>4780160</v>
          </cell>
          <cell r="E936">
            <v>2717583.77</v>
          </cell>
        </row>
        <row r="937">
          <cell r="A937">
            <v>1817900110</v>
          </cell>
          <cell r="B937" t="str">
            <v>משכורת ושכר משולבים</v>
          </cell>
          <cell r="C937">
            <v>112902</v>
          </cell>
          <cell r="D937">
            <v>112902</v>
          </cell>
          <cell r="E937">
            <v>102031.77</v>
          </cell>
        </row>
        <row r="938">
          <cell r="A938">
            <v>1817900430</v>
          </cell>
          <cell r="B938" t="str">
            <v>מתיא-מים וחשמל</v>
          </cell>
          <cell r="C938">
            <v>9000</v>
          </cell>
          <cell r="D938">
            <v>9000</v>
          </cell>
          <cell r="E938">
            <v>8323.3700000000008</v>
          </cell>
        </row>
        <row r="939">
          <cell r="A939">
            <v>1817900540</v>
          </cell>
          <cell r="B939" t="str">
            <v>מתיא הוצ תקשורת</v>
          </cell>
          <cell r="C939">
            <v>17000</v>
          </cell>
          <cell r="D939">
            <v>17000</v>
          </cell>
          <cell r="E939">
            <v>4231.54</v>
          </cell>
        </row>
        <row r="940">
          <cell r="A940">
            <v>1817900750</v>
          </cell>
          <cell r="B940" t="str">
            <v>עבודות קבלניות</v>
          </cell>
          <cell r="C940">
            <v>46000</v>
          </cell>
          <cell r="D940">
            <v>46000</v>
          </cell>
          <cell r="E940">
            <v>26270</v>
          </cell>
        </row>
        <row r="941">
          <cell r="A941">
            <v>1817900780</v>
          </cell>
          <cell r="B941" t="str">
            <v>הוצאות אחרות</v>
          </cell>
          <cell r="C941">
            <v>5000</v>
          </cell>
          <cell r="D941">
            <v>5000</v>
          </cell>
          <cell r="E941">
            <v>945</v>
          </cell>
        </row>
        <row r="942">
          <cell r="A942">
            <v>1817900811</v>
          </cell>
          <cell r="B942" t="str">
            <v>עיר ללא אלימות-פר 10,9</v>
          </cell>
          <cell r="C942">
            <v>0</v>
          </cell>
          <cell r="E942">
            <v>0</v>
          </cell>
        </row>
        <row r="943">
          <cell r="A943">
            <v>1817900910</v>
          </cell>
          <cell r="B943" t="str">
            <v>עיר ללא אלימות</v>
          </cell>
          <cell r="C943">
            <v>52332</v>
          </cell>
          <cell r="D943">
            <v>52332</v>
          </cell>
          <cell r="E943">
            <v>52332</v>
          </cell>
        </row>
        <row r="944">
          <cell r="A944">
            <v>1817904110</v>
          </cell>
          <cell r="B944" t="str">
            <v>מתי"א</v>
          </cell>
          <cell r="C944">
            <v>87518</v>
          </cell>
          <cell r="D944">
            <v>87518</v>
          </cell>
          <cell r="E944">
            <v>71655.3</v>
          </cell>
        </row>
        <row r="945">
          <cell r="A945">
            <v>1817910210</v>
          </cell>
          <cell r="B945" t="str">
            <v>משכורת פרויקט עיר חינו</v>
          </cell>
          <cell r="C945">
            <v>0</v>
          </cell>
          <cell r="E945">
            <v>0</v>
          </cell>
        </row>
        <row r="946">
          <cell r="A946">
            <v>1817910780</v>
          </cell>
          <cell r="B946" t="str">
            <v>פעולות חינוך-הסוכנות ה</v>
          </cell>
          <cell r="C946">
            <v>0</v>
          </cell>
          <cell r="E946">
            <v>0</v>
          </cell>
        </row>
        <row r="947">
          <cell r="A947">
            <v>1817922780</v>
          </cell>
          <cell r="B947" t="str">
            <v>מתי"א שכפול</v>
          </cell>
          <cell r="C947">
            <v>27200</v>
          </cell>
          <cell r="D947">
            <v>27200</v>
          </cell>
          <cell r="E947">
            <v>0</v>
          </cell>
        </row>
        <row r="948">
          <cell r="A948">
            <v>1817950210</v>
          </cell>
          <cell r="B948" t="str">
            <v>משכ.מרכזי נוער וקהילה</v>
          </cell>
          <cell r="C948">
            <v>1170664</v>
          </cell>
          <cell r="D948">
            <v>1170664</v>
          </cell>
          <cell r="E948">
            <v>710226.21</v>
          </cell>
        </row>
        <row r="949">
          <cell r="A949">
            <v>1817950430</v>
          </cell>
          <cell r="B949" t="str">
            <v>מנ"ע-מים וחשמל</v>
          </cell>
          <cell r="C949">
            <v>100000</v>
          </cell>
          <cell r="D949">
            <v>100000</v>
          </cell>
          <cell r="E949">
            <v>26395.360000000001</v>
          </cell>
        </row>
        <row r="950">
          <cell r="A950">
            <v>1817950540</v>
          </cell>
          <cell r="B950" t="str">
            <v>מנ"ע-הוצ.תקשורת</v>
          </cell>
          <cell r="C950">
            <v>35000</v>
          </cell>
          <cell r="D950">
            <v>35000</v>
          </cell>
          <cell r="E950">
            <v>15387.42</v>
          </cell>
        </row>
        <row r="951">
          <cell r="A951">
            <v>1817950750</v>
          </cell>
          <cell r="B951" t="str">
            <v>עב.קבלניות</v>
          </cell>
          <cell r="C951">
            <v>50000</v>
          </cell>
          <cell r="D951">
            <v>50000</v>
          </cell>
          <cell r="E951">
            <v>29270</v>
          </cell>
        </row>
        <row r="952">
          <cell r="A952">
            <v>1817950780</v>
          </cell>
          <cell r="B952" t="str">
            <v>הוצאות סולר לגרעין נחל</v>
          </cell>
          <cell r="C952">
            <v>0</v>
          </cell>
          <cell r="E952">
            <v>0</v>
          </cell>
        </row>
        <row r="953">
          <cell r="A953">
            <v>1817950980</v>
          </cell>
          <cell r="B953" t="str">
            <v>הוצאות חוגים ושונות</v>
          </cell>
          <cell r="C953">
            <v>280000</v>
          </cell>
          <cell r="D953">
            <v>280000</v>
          </cell>
          <cell r="E953">
            <v>203736.33</v>
          </cell>
        </row>
        <row r="954">
          <cell r="A954">
            <v>1817951110</v>
          </cell>
          <cell r="B954" t="str">
            <v>שכר מנהלת יחידת נוער עירונית</v>
          </cell>
          <cell r="C954">
            <v>135000</v>
          </cell>
          <cell r="D954">
            <v>135000</v>
          </cell>
          <cell r="E954">
            <v>43322.55</v>
          </cell>
        </row>
        <row r="955">
          <cell r="A955">
            <v>1817960110</v>
          </cell>
          <cell r="B955" t="str">
            <v>יחידה לקידום הנוער</v>
          </cell>
          <cell r="C955">
            <v>735800</v>
          </cell>
          <cell r="D955">
            <v>735800</v>
          </cell>
          <cell r="E955">
            <v>507548.65</v>
          </cell>
        </row>
        <row r="956">
          <cell r="A956">
            <v>1817960430</v>
          </cell>
          <cell r="B956" t="str">
            <v>חשמל קידום נוער</v>
          </cell>
          <cell r="C956">
            <v>8000</v>
          </cell>
          <cell r="D956">
            <v>8000</v>
          </cell>
          <cell r="E956">
            <v>7032.96</v>
          </cell>
        </row>
        <row r="957">
          <cell r="A957">
            <v>1817960540</v>
          </cell>
          <cell r="B957" t="str">
            <v>תקשורת קידום נוער</v>
          </cell>
          <cell r="C957">
            <v>11000</v>
          </cell>
          <cell r="D957">
            <v>11000</v>
          </cell>
          <cell r="E957">
            <v>0</v>
          </cell>
        </row>
        <row r="958">
          <cell r="A958">
            <v>1817960780</v>
          </cell>
          <cell r="B958" t="str">
            <v>הפוך על הפוך</v>
          </cell>
          <cell r="C958">
            <v>85000</v>
          </cell>
          <cell r="D958">
            <v>85000</v>
          </cell>
          <cell r="E958">
            <v>48569.47</v>
          </cell>
        </row>
        <row r="959">
          <cell r="A959">
            <v>1817960781</v>
          </cell>
          <cell r="B959" t="str">
            <v>קידום נוער</v>
          </cell>
          <cell r="C959">
            <v>30000</v>
          </cell>
          <cell r="D959">
            <v>30000</v>
          </cell>
          <cell r="E959">
            <v>11097.08</v>
          </cell>
        </row>
        <row r="960">
          <cell r="A960">
            <v>1817961110</v>
          </cell>
          <cell r="B960" t="str">
            <v>משכורת פועלת ניקיון</v>
          </cell>
          <cell r="C960">
            <v>57426</v>
          </cell>
          <cell r="D960">
            <v>57426</v>
          </cell>
          <cell r="E960">
            <v>46644.18</v>
          </cell>
        </row>
        <row r="961">
          <cell r="A961">
            <v>1817962110</v>
          </cell>
          <cell r="B961" t="str">
            <v>משכ.רפרנט עירוני לילדים ונוער בסיכון</v>
          </cell>
          <cell r="C961">
            <v>201130</v>
          </cell>
          <cell r="D961">
            <v>201130</v>
          </cell>
          <cell r="E961">
            <v>150148.91</v>
          </cell>
        </row>
        <row r="962">
          <cell r="A962">
            <v>1819950210</v>
          </cell>
          <cell r="B962" t="str">
            <v>שכר פרויקט נאס"ן</v>
          </cell>
          <cell r="C962">
            <v>0</v>
          </cell>
          <cell r="E962">
            <v>0</v>
          </cell>
        </row>
        <row r="963">
          <cell r="A963">
            <v>1819951210</v>
          </cell>
          <cell r="B963" t="str">
            <v>שכר טיפול בפרט</v>
          </cell>
          <cell r="C963">
            <v>25000</v>
          </cell>
          <cell r="D963">
            <v>25000</v>
          </cell>
          <cell r="E963">
            <v>1153.8800000000001</v>
          </cell>
        </row>
        <row r="964">
          <cell r="A964">
            <v>1819999110</v>
          </cell>
          <cell r="B964" t="str">
            <v>משכורת</v>
          </cell>
          <cell r="C964">
            <v>81600</v>
          </cell>
          <cell r="D964">
            <v>81600</v>
          </cell>
          <cell r="E964">
            <v>110196.33</v>
          </cell>
        </row>
        <row r="965">
          <cell r="A965">
            <v>1819999210</v>
          </cell>
          <cell r="B965" t="str">
            <v>שכר-יוזמות פדגוגיות</v>
          </cell>
          <cell r="C965">
            <v>458120</v>
          </cell>
          <cell r="D965">
            <v>458120</v>
          </cell>
          <cell r="E965">
            <v>213249.31</v>
          </cell>
        </row>
        <row r="966">
          <cell r="A966">
            <v>1819999780</v>
          </cell>
          <cell r="B966" t="str">
            <v>התוכנית הלאומית דוח שמיד</v>
          </cell>
          <cell r="C966">
            <v>48000</v>
          </cell>
          <cell r="D966">
            <v>48000</v>
          </cell>
          <cell r="E966">
            <v>13000</v>
          </cell>
        </row>
        <row r="967">
          <cell r="A967">
            <v>1819999999</v>
          </cell>
          <cell r="B967" t="str">
            <v>יוזמות פדגוגיות</v>
          </cell>
          <cell r="C967">
            <v>0</v>
          </cell>
          <cell r="E967">
            <v>187309.35</v>
          </cell>
        </row>
        <row r="968">
          <cell r="A968">
            <v>1820000399</v>
          </cell>
          <cell r="B968" t="str">
            <v>הפרשה לדמי הבראה ומענק</v>
          </cell>
          <cell r="C968">
            <v>0</v>
          </cell>
          <cell r="E968">
            <v>0</v>
          </cell>
        </row>
        <row r="969">
          <cell r="A969">
            <v>1822000110</v>
          </cell>
          <cell r="B969" t="str">
            <v>שכ"ע פסטיבל עכו</v>
          </cell>
          <cell r="C969">
            <v>0</v>
          </cell>
          <cell r="E969">
            <v>68865.279999999999</v>
          </cell>
        </row>
        <row r="970">
          <cell r="A970">
            <v>1822000210</v>
          </cell>
          <cell r="B970" t="str">
            <v>שכ"ע פסטיבל עכו</v>
          </cell>
          <cell r="C970">
            <v>0</v>
          </cell>
          <cell r="E970">
            <v>0</v>
          </cell>
        </row>
        <row r="971">
          <cell r="A971">
            <v>1822000722</v>
          </cell>
          <cell r="B971" t="str">
            <v>אירועי תרבות</v>
          </cell>
          <cell r="C971">
            <v>0</v>
          </cell>
          <cell r="E971">
            <v>0</v>
          </cell>
        </row>
        <row r="972">
          <cell r="A972">
            <v>1822000750</v>
          </cell>
          <cell r="B972" t="str">
            <v>כח אדם באתר הפסטיבל</v>
          </cell>
          <cell r="C972">
            <v>156000</v>
          </cell>
          <cell r="D972">
            <v>156000</v>
          </cell>
          <cell r="E972">
            <v>117666.4</v>
          </cell>
        </row>
        <row r="973">
          <cell r="A973">
            <v>1822000780</v>
          </cell>
          <cell r="B973" t="str">
            <v>הוצאות אומנותיות</v>
          </cell>
          <cell r="C973">
            <v>1708000</v>
          </cell>
          <cell r="D973">
            <v>1708000</v>
          </cell>
          <cell r="E973">
            <v>1164211.57</v>
          </cell>
        </row>
        <row r="974">
          <cell r="A974">
            <v>1822000781</v>
          </cell>
          <cell r="B974" t="str">
            <v>פסטיבל עכו פרויקטים מחו"ל</v>
          </cell>
          <cell r="C974">
            <v>60000</v>
          </cell>
          <cell r="D974">
            <v>60000</v>
          </cell>
          <cell r="E974">
            <v>0</v>
          </cell>
        </row>
        <row r="975">
          <cell r="A975">
            <v>1822000782</v>
          </cell>
          <cell r="B975" t="str">
            <v>לוגיסטיקה ותשתית</v>
          </cell>
          <cell r="C975">
            <v>777000</v>
          </cell>
          <cell r="D975">
            <v>777000</v>
          </cell>
          <cell r="E975">
            <v>274913.75</v>
          </cell>
        </row>
        <row r="976">
          <cell r="A976">
            <v>1822000783</v>
          </cell>
          <cell r="B976" t="str">
            <v>שיווק פרסום ויח"צ</v>
          </cell>
          <cell r="C976">
            <v>354000</v>
          </cell>
          <cell r="D976">
            <v>354000</v>
          </cell>
          <cell r="E976">
            <v>218396.03</v>
          </cell>
        </row>
        <row r="977">
          <cell r="A977">
            <v>1822000784</v>
          </cell>
          <cell r="B977" t="str">
            <v>צוות הפקה</v>
          </cell>
          <cell r="C977">
            <v>345000</v>
          </cell>
          <cell r="D977">
            <v>345000</v>
          </cell>
          <cell r="E977">
            <v>164464.79999999999</v>
          </cell>
        </row>
        <row r="978">
          <cell r="A978">
            <v>1822000785</v>
          </cell>
          <cell r="B978" t="str">
            <v>מיכון משרדי</v>
          </cell>
          <cell r="C978">
            <v>10000</v>
          </cell>
          <cell r="D978">
            <v>10000</v>
          </cell>
          <cell r="E978">
            <v>6349</v>
          </cell>
        </row>
        <row r="979">
          <cell r="A979">
            <v>1822000786</v>
          </cell>
          <cell r="B979" t="str">
            <v>שונות</v>
          </cell>
          <cell r="C979">
            <v>100000</v>
          </cell>
          <cell r="D979">
            <v>100000</v>
          </cell>
          <cell r="E979">
            <v>47352.97</v>
          </cell>
        </row>
        <row r="980">
          <cell r="A980">
            <v>1822000822</v>
          </cell>
          <cell r="B980" t="str">
            <v>השתתפות בפסטיבל מסרחיד</v>
          </cell>
          <cell r="C980">
            <v>96000</v>
          </cell>
          <cell r="D980">
            <v>96000</v>
          </cell>
          <cell r="E980">
            <v>96000</v>
          </cell>
        </row>
        <row r="981">
          <cell r="A981">
            <v>1822300780</v>
          </cell>
          <cell r="B981" t="str">
            <v>מופעי תרבות</v>
          </cell>
          <cell r="C981">
            <v>900000</v>
          </cell>
          <cell r="D981">
            <v>900000</v>
          </cell>
          <cell r="E981">
            <v>885623.54</v>
          </cell>
        </row>
        <row r="982">
          <cell r="A982">
            <v>1822800780</v>
          </cell>
          <cell r="B982" t="str">
            <v>מופע פילהרמונית</v>
          </cell>
          <cell r="C982">
            <v>100000</v>
          </cell>
          <cell r="D982">
            <v>100000</v>
          </cell>
          <cell r="E982">
            <v>60434.04</v>
          </cell>
        </row>
        <row r="983">
          <cell r="A983">
            <v>1823000110</v>
          </cell>
          <cell r="B983" t="str">
            <v>משכורת ושכר משולבים</v>
          </cell>
          <cell r="C983">
            <v>741242</v>
          </cell>
          <cell r="D983">
            <v>631403</v>
          </cell>
          <cell r="E983">
            <v>547235.62</v>
          </cell>
        </row>
        <row r="984">
          <cell r="A984">
            <v>1823000430</v>
          </cell>
          <cell r="B984" t="str">
            <v>מאור כח חימום מים</v>
          </cell>
          <cell r="C984">
            <v>80000</v>
          </cell>
          <cell r="D984">
            <v>74000</v>
          </cell>
          <cell r="E984">
            <v>54143.34</v>
          </cell>
        </row>
        <row r="985">
          <cell r="A985">
            <v>1823000470</v>
          </cell>
          <cell r="B985" t="str">
            <v>ספריה-מכשירי כתיבה</v>
          </cell>
          <cell r="C985">
            <v>500</v>
          </cell>
          <cell r="D985">
            <v>500</v>
          </cell>
          <cell r="E985">
            <v>640.89</v>
          </cell>
        </row>
        <row r="986">
          <cell r="A986">
            <v>1823000520</v>
          </cell>
          <cell r="B986" t="str">
            <v>ספריה-ספרים ועתונים</v>
          </cell>
          <cell r="C986">
            <v>15000</v>
          </cell>
          <cell r="D986">
            <v>11000</v>
          </cell>
          <cell r="E986">
            <v>7178.47</v>
          </cell>
        </row>
        <row r="987">
          <cell r="A987">
            <v>1823000522</v>
          </cell>
          <cell r="B987" t="str">
            <v>ספריה- ספרות ועיתונים</v>
          </cell>
          <cell r="C987">
            <v>130</v>
          </cell>
          <cell r="D987">
            <v>130</v>
          </cell>
          <cell r="E987">
            <v>130</v>
          </cell>
        </row>
        <row r="988">
          <cell r="A988">
            <v>1823000540</v>
          </cell>
          <cell r="B988" t="str">
            <v>ספריה-בולים טלפון</v>
          </cell>
          <cell r="C988">
            <v>8000</v>
          </cell>
          <cell r="D988">
            <v>8000</v>
          </cell>
          <cell r="E988">
            <v>6562.77</v>
          </cell>
        </row>
        <row r="989">
          <cell r="A989">
            <v>1823000560</v>
          </cell>
          <cell r="B989" t="str">
            <v>ספריה- הוצאות משרדיות</v>
          </cell>
          <cell r="C989">
            <v>1450</v>
          </cell>
          <cell r="D989">
            <v>1450</v>
          </cell>
          <cell r="E989">
            <v>1650.33</v>
          </cell>
        </row>
        <row r="990">
          <cell r="A990">
            <v>1823000720</v>
          </cell>
          <cell r="B990" t="str">
            <v>ספריה-חומרים</v>
          </cell>
          <cell r="C990">
            <v>0</v>
          </cell>
          <cell r="E990">
            <v>0</v>
          </cell>
        </row>
        <row r="991">
          <cell r="A991">
            <v>1823000740</v>
          </cell>
          <cell r="B991" t="str">
            <v>ספריה-כלים מכשירים וציוד</v>
          </cell>
          <cell r="C991">
            <v>5000</v>
          </cell>
          <cell r="D991">
            <v>5000</v>
          </cell>
          <cell r="E991">
            <v>0</v>
          </cell>
        </row>
        <row r="992">
          <cell r="A992">
            <v>1823000750</v>
          </cell>
          <cell r="B992" t="str">
            <v>ספריה-עבודות קבלניות</v>
          </cell>
          <cell r="C992">
            <v>12000</v>
          </cell>
          <cell r="D992">
            <v>12000</v>
          </cell>
          <cell r="E992">
            <v>11015.76</v>
          </cell>
        </row>
        <row r="993">
          <cell r="A993">
            <v>1823000780</v>
          </cell>
          <cell r="B993" t="str">
            <v>הוצאות אחרות</v>
          </cell>
          <cell r="C993">
            <v>4000</v>
          </cell>
          <cell r="D993">
            <v>14000</v>
          </cell>
          <cell r="E993">
            <v>2888</v>
          </cell>
        </row>
        <row r="994">
          <cell r="A994">
            <v>1823000910</v>
          </cell>
          <cell r="B994" t="str">
            <v>העברה מתקציב בלתי רגיל</v>
          </cell>
          <cell r="C994">
            <v>0</v>
          </cell>
          <cell r="E994">
            <v>0</v>
          </cell>
        </row>
        <row r="995">
          <cell r="A995">
            <v>1823000930</v>
          </cell>
          <cell r="B995" t="str">
            <v>ציוד יסודי</v>
          </cell>
          <cell r="C995">
            <v>1700</v>
          </cell>
          <cell r="D995">
            <v>1700</v>
          </cell>
          <cell r="E995">
            <v>1700</v>
          </cell>
        </row>
        <row r="996">
          <cell r="A996">
            <v>1824000110</v>
          </cell>
          <cell r="B996" t="str">
            <v>מרכז-פיס משכורת</v>
          </cell>
          <cell r="C996">
            <v>0</v>
          </cell>
          <cell r="E996">
            <v>0</v>
          </cell>
        </row>
        <row r="997">
          <cell r="A997">
            <v>1824000430</v>
          </cell>
          <cell r="B997" t="str">
            <v>מרכז פיס-חשמל</v>
          </cell>
          <cell r="C997">
            <v>12000</v>
          </cell>
          <cell r="D997">
            <v>12000</v>
          </cell>
          <cell r="E997">
            <v>0</v>
          </cell>
        </row>
        <row r="998">
          <cell r="A998">
            <v>1824000810</v>
          </cell>
          <cell r="B998" t="str">
            <v>השתתפויות  מתנ"סים</v>
          </cell>
          <cell r="C998">
            <v>3085334</v>
          </cell>
          <cell r="D998">
            <v>3085334</v>
          </cell>
          <cell r="E998">
            <v>3029823.99</v>
          </cell>
        </row>
        <row r="999">
          <cell r="A999">
            <v>1824000811</v>
          </cell>
          <cell r="B999" t="str">
            <v>רשות ספורט  עירונית</v>
          </cell>
          <cell r="C999">
            <v>0</v>
          </cell>
          <cell r="E999">
            <v>0</v>
          </cell>
        </row>
        <row r="1000">
          <cell r="A1000">
            <v>1824000812</v>
          </cell>
          <cell r="B1000" t="str">
            <v>מתנס וולפסון</v>
          </cell>
          <cell r="C1000">
            <v>80000</v>
          </cell>
          <cell r="D1000">
            <v>80000</v>
          </cell>
          <cell r="E1000">
            <v>80000</v>
          </cell>
        </row>
        <row r="1001">
          <cell r="A1001">
            <v>1824000813</v>
          </cell>
          <cell r="B1001" t="str">
            <v>פעילות חברתית</v>
          </cell>
          <cell r="C1001">
            <v>0</v>
          </cell>
          <cell r="E1001">
            <v>0</v>
          </cell>
        </row>
        <row r="1002">
          <cell r="A1002">
            <v>1824000814</v>
          </cell>
          <cell r="B1002" t="str">
            <v>בית קדם</v>
          </cell>
          <cell r="C1002">
            <v>80000</v>
          </cell>
          <cell r="D1002">
            <v>80000</v>
          </cell>
          <cell r="E1002">
            <v>80000</v>
          </cell>
        </row>
        <row r="1003">
          <cell r="A1003">
            <v>1824000815</v>
          </cell>
          <cell r="B1003" t="str">
            <v>פרויקט בגרויות</v>
          </cell>
          <cell r="C1003">
            <v>0</v>
          </cell>
          <cell r="E1003">
            <v>0</v>
          </cell>
        </row>
        <row r="1004">
          <cell r="A1004">
            <v>1824000930</v>
          </cell>
          <cell r="B1004" t="str">
            <v>הצטיידות סאריה</v>
          </cell>
          <cell r="C1004">
            <v>0</v>
          </cell>
          <cell r="E1004">
            <v>0</v>
          </cell>
        </row>
        <row r="1005">
          <cell r="A1005">
            <v>1825200110</v>
          </cell>
          <cell r="B1005" t="str">
            <v>משכורת ושכר משולבים</v>
          </cell>
          <cell r="C1005">
            <v>2205469</v>
          </cell>
          <cell r="D1005">
            <v>2108408</v>
          </cell>
          <cell r="E1005">
            <v>1625008.02</v>
          </cell>
        </row>
        <row r="1006">
          <cell r="A1006">
            <v>1825200210</v>
          </cell>
          <cell r="B1006" t="str">
            <v>שכ"ע יומיים_תזמורת</v>
          </cell>
          <cell r="C1006">
            <v>1196322</v>
          </cell>
          <cell r="D1006">
            <v>991592</v>
          </cell>
          <cell r="E1006">
            <v>860760.7</v>
          </cell>
        </row>
        <row r="1007">
          <cell r="A1007">
            <v>1825200420</v>
          </cell>
          <cell r="B1007" t="str">
            <v>תזמורת - תיקונים</v>
          </cell>
          <cell r="C1007">
            <v>30000</v>
          </cell>
          <cell r="D1007">
            <v>30000</v>
          </cell>
          <cell r="E1007">
            <v>21387.9</v>
          </cell>
        </row>
        <row r="1008">
          <cell r="A1008">
            <v>1825200430</v>
          </cell>
          <cell r="B1008" t="str">
            <v>תזמורת-מאור כח חימום</v>
          </cell>
          <cell r="C1008">
            <v>80000</v>
          </cell>
          <cell r="D1008">
            <v>65000</v>
          </cell>
          <cell r="E1008">
            <v>57503.86</v>
          </cell>
        </row>
        <row r="1009">
          <cell r="A1009">
            <v>1825200433</v>
          </cell>
          <cell r="B1009" t="str">
            <v>תזמו'-חומרי ניקיון</v>
          </cell>
          <cell r="C1009">
            <v>10000</v>
          </cell>
          <cell r="D1009">
            <v>10000</v>
          </cell>
          <cell r="E1009">
            <v>2975.18</v>
          </cell>
        </row>
        <row r="1010">
          <cell r="A1010">
            <v>1825200450</v>
          </cell>
          <cell r="B1010" t="str">
            <v>תזמורת-רהוט והחזקתו</v>
          </cell>
          <cell r="C1010">
            <v>15000</v>
          </cell>
          <cell r="D1010">
            <v>15000</v>
          </cell>
          <cell r="E1010">
            <v>0</v>
          </cell>
        </row>
        <row r="1011">
          <cell r="A1011">
            <v>1825200470</v>
          </cell>
          <cell r="B1011" t="str">
            <v>תזמורת-מכשירי כתיבה</v>
          </cell>
          <cell r="C1011">
            <v>2000</v>
          </cell>
          <cell r="D1011">
            <v>2000</v>
          </cell>
          <cell r="E1011">
            <v>0</v>
          </cell>
        </row>
        <row r="1012">
          <cell r="A1012">
            <v>1825200512</v>
          </cell>
          <cell r="B1012" t="str">
            <v>תזמורת -נסיעות</v>
          </cell>
          <cell r="C1012">
            <v>75000</v>
          </cell>
          <cell r="D1012">
            <v>75000</v>
          </cell>
          <cell r="E1012">
            <v>15960</v>
          </cell>
        </row>
        <row r="1013">
          <cell r="A1013">
            <v>1825200520</v>
          </cell>
          <cell r="B1013" t="str">
            <v>תזמורת-ספרים ועתונים</v>
          </cell>
          <cell r="C1013">
            <v>15000</v>
          </cell>
          <cell r="D1013">
            <v>15000</v>
          </cell>
          <cell r="E1013">
            <v>7000</v>
          </cell>
        </row>
        <row r="1014">
          <cell r="A1014">
            <v>1825200540</v>
          </cell>
          <cell r="B1014" t="str">
            <v>תזמורת-בולים,טלפון,מבר</v>
          </cell>
          <cell r="C1014">
            <v>15000</v>
          </cell>
          <cell r="D1014">
            <v>15000</v>
          </cell>
          <cell r="E1014">
            <v>16433.310000000001</v>
          </cell>
        </row>
        <row r="1015">
          <cell r="A1015">
            <v>1825200550</v>
          </cell>
          <cell r="B1015" t="str">
            <v>תזמורת-פרסומים והדפסות</v>
          </cell>
          <cell r="C1015">
            <v>30000</v>
          </cell>
          <cell r="D1015">
            <v>30000</v>
          </cell>
          <cell r="E1015">
            <v>31526</v>
          </cell>
        </row>
        <row r="1016">
          <cell r="A1016">
            <v>1825200560</v>
          </cell>
          <cell r="B1016" t="str">
            <v>תזמורת-מכונות משרד והח</v>
          </cell>
          <cell r="C1016">
            <v>17000</v>
          </cell>
          <cell r="D1016">
            <v>17000</v>
          </cell>
          <cell r="E1016">
            <v>13131.5</v>
          </cell>
        </row>
        <row r="1017">
          <cell r="A1017">
            <v>1825200720</v>
          </cell>
          <cell r="B1017" t="str">
            <v>תזמורת - חומרים</v>
          </cell>
          <cell r="C1017">
            <v>5000</v>
          </cell>
          <cell r="D1017">
            <v>5000</v>
          </cell>
          <cell r="E1017">
            <v>1566</v>
          </cell>
        </row>
        <row r="1018">
          <cell r="A1018">
            <v>1825200732</v>
          </cell>
          <cell r="B1018" t="str">
            <v>תזמורת-תיקונים</v>
          </cell>
          <cell r="C1018">
            <v>51000</v>
          </cell>
          <cell r="D1018">
            <v>51000</v>
          </cell>
          <cell r="E1018">
            <v>42908</v>
          </cell>
        </row>
        <row r="1019">
          <cell r="A1019">
            <v>1825200740</v>
          </cell>
          <cell r="B1019" t="str">
            <v>כלים מכשירים וציוד</v>
          </cell>
          <cell r="C1019">
            <v>20000</v>
          </cell>
          <cell r="D1019">
            <v>20000</v>
          </cell>
          <cell r="E1019">
            <v>9500</v>
          </cell>
        </row>
        <row r="1020">
          <cell r="A1020">
            <v>1825200750</v>
          </cell>
          <cell r="B1020" t="str">
            <v>תזמורת-עבודות קבלניות</v>
          </cell>
          <cell r="C1020">
            <v>205000</v>
          </cell>
          <cell r="D1020">
            <v>205000</v>
          </cell>
          <cell r="E1020">
            <v>165272.78</v>
          </cell>
        </row>
        <row r="1021">
          <cell r="A1021">
            <v>1825200780</v>
          </cell>
          <cell r="B1021" t="str">
            <v>תזמורת-הוצ אחרות</v>
          </cell>
          <cell r="C1021">
            <v>70000</v>
          </cell>
          <cell r="D1021">
            <v>70000</v>
          </cell>
          <cell r="E1021">
            <v>20345</v>
          </cell>
        </row>
        <row r="1022">
          <cell r="A1022">
            <v>1825200785</v>
          </cell>
          <cell r="B1022" t="str">
            <v>מלגות לתלמידים מצטיינים</v>
          </cell>
          <cell r="C1022">
            <v>249406</v>
          </cell>
          <cell r="D1022">
            <v>249406</v>
          </cell>
          <cell r="E1022">
            <v>97512</v>
          </cell>
        </row>
        <row r="1023">
          <cell r="A1023">
            <v>1825200786</v>
          </cell>
          <cell r="B1023" t="str">
            <v>סדרת מוצ"ש</v>
          </cell>
          <cell r="C1023">
            <v>70000</v>
          </cell>
          <cell r="D1023">
            <v>70000</v>
          </cell>
          <cell r="E1023">
            <v>67718</v>
          </cell>
        </row>
        <row r="1024">
          <cell r="A1024">
            <v>1825200930</v>
          </cell>
          <cell r="B1024" t="str">
            <v>תזמורת-רכישת ציוד</v>
          </cell>
          <cell r="C1024">
            <v>40000</v>
          </cell>
          <cell r="D1024">
            <v>40000</v>
          </cell>
          <cell r="E1024">
            <v>25568</v>
          </cell>
        </row>
        <row r="1025">
          <cell r="A1025">
            <v>1826200430</v>
          </cell>
          <cell r="B1025" t="str">
            <v>תיירות-מאור כח חימום מ</v>
          </cell>
          <cell r="C1025">
            <v>2000</v>
          </cell>
          <cell r="D1025">
            <v>2000</v>
          </cell>
          <cell r="E1025">
            <v>152.76</v>
          </cell>
        </row>
        <row r="1026">
          <cell r="A1026">
            <v>1826200432</v>
          </cell>
          <cell r="B1026" t="str">
            <v>תיירות-מים שירותים ע"ע</v>
          </cell>
          <cell r="C1026">
            <v>18000</v>
          </cell>
          <cell r="D1026">
            <v>18000</v>
          </cell>
          <cell r="E1026">
            <v>0</v>
          </cell>
        </row>
        <row r="1027">
          <cell r="A1027">
            <v>1826200540</v>
          </cell>
          <cell r="B1027" t="str">
            <v>תיירות-בולים,טלפון,מבר</v>
          </cell>
          <cell r="C1027">
            <v>0</v>
          </cell>
          <cell r="E1027">
            <v>0</v>
          </cell>
        </row>
        <row r="1028">
          <cell r="A1028">
            <v>1826200780</v>
          </cell>
          <cell r="B1028" t="str">
            <v>תיירות-הוצ אחרות</v>
          </cell>
          <cell r="C1028">
            <v>2000</v>
          </cell>
          <cell r="D1028">
            <v>2000</v>
          </cell>
          <cell r="E1028">
            <v>0</v>
          </cell>
        </row>
        <row r="1029">
          <cell r="A1029">
            <v>1826200830</v>
          </cell>
          <cell r="B1029" t="str">
            <v>עמותת התיירות בגליל-הש</v>
          </cell>
          <cell r="C1029">
            <v>45000</v>
          </cell>
          <cell r="D1029">
            <v>45000</v>
          </cell>
          <cell r="E1029">
            <v>44999.99</v>
          </cell>
        </row>
        <row r="1030">
          <cell r="A1030">
            <v>1826400410</v>
          </cell>
          <cell r="B1030" t="str">
            <v>שכירות</v>
          </cell>
          <cell r="C1030">
            <v>171000</v>
          </cell>
          <cell r="D1030">
            <v>171000</v>
          </cell>
          <cell r="E1030">
            <v>170094.06</v>
          </cell>
        </row>
        <row r="1031">
          <cell r="A1031">
            <v>1826400430</v>
          </cell>
          <cell r="B1031" t="str">
            <v>חשמל מרכז צעירים</v>
          </cell>
          <cell r="C1031">
            <v>54000</v>
          </cell>
          <cell r="D1031">
            <v>54000</v>
          </cell>
          <cell r="E1031">
            <v>53826.01</v>
          </cell>
        </row>
        <row r="1032">
          <cell r="A1032">
            <v>1826400540</v>
          </cell>
          <cell r="B1032" t="str">
            <v>בולים טלפון ומברקים</v>
          </cell>
          <cell r="C1032">
            <v>4200</v>
          </cell>
          <cell r="D1032">
            <v>6000</v>
          </cell>
          <cell r="E1032">
            <v>1885.19</v>
          </cell>
        </row>
        <row r="1033">
          <cell r="A1033">
            <v>1826500780</v>
          </cell>
          <cell r="B1033" t="str">
            <v>בית יד לבנים</v>
          </cell>
          <cell r="C1033">
            <v>24000</v>
          </cell>
          <cell r="D1033">
            <v>24000</v>
          </cell>
          <cell r="E1033">
            <v>16178.31</v>
          </cell>
        </row>
        <row r="1034">
          <cell r="A1034">
            <v>1829000780</v>
          </cell>
          <cell r="B1034" t="str">
            <v>פע. ספורט -מפעל הפיס</v>
          </cell>
          <cell r="C1034">
            <v>10000</v>
          </cell>
          <cell r="D1034">
            <v>10000</v>
          </cell>
          <cell r="E1034">
            <v>0</v>
          </cell>
        </row>
        <row r="1035">
          <cell r="A1035">
            <v>1829200750</v>
          </cell>
          <cell r="B1035" t="str">
            <v>אחזקת אצטדיון עירוני</v>
          </cell>
          <cell r="C1035">
            <v>1000000</v>
          </cell>
          <cell r="D1035">
            <v>1000000</v>
          </cell>
          <cell r="E1035">
            <v>702001.43</v>
          </cell>
        </row>
        <row r="1036">
          <cell r="A1036">
            <v>1829300110</v>
          </cell>
          <cell r="B1036" t="str">
            <v>מרכז-פיס</v>
          </cell>
          <cell r="C1036">
            <v>225911</v>
          </cell>
          <cell r="D1036">
            <v>228629</v>
          </cell>
          <cell r="E1036">
            <v>168027.54</v>
          </cell>
        </row>
        <row r="1037">
          <cell r="A1037">
            <v>1829900110</v>
          </cell>
          <cell r="B1037" t="str">
            <v>משכורת רשות ספורט</v>
          </cell>
          <cell r="C1037">
            <v>171563</v>
          </cell>
          <cell r="D1037">
            <v>491918</v>
          </cell>
          <cell r="E1037">
            <v>358937.85</v>
          </cell>
        </row>
        <row r="1038">
          <cell r="A1038">
            <v>1829900430</v>
          </cell>
          <cell r="B1038" t="str">
            <v>איצטדיון אחזקה</v>
          </cell>
          <cell r="C1038">
            <v>0</v>
          </cell>
          <cell r="E1038">
            <v>80521.399999999994</v>
          </cell>
        </row>
        <row r="1039">
          <cell r="A1039">
            <v>1829900750</v>
          </cell>
          <cell r="B1039" t="str">
            <v>פעילויות ספורט</v>
          </cell>
          <cell r="C1039">
            <v>120000</v>
          </cell>
          <cell r="D1039">
            <v>120000</v>
          </cell>
          <cell r="E1039">
            <v>101038.54</v>
          </cell>
        </row>
        <row r="1040">
          <cell r="A1040">
            <v>1829900810</v>
          </cell>
          <cell r="B1040" t="str">
            <v>השתתפויות ותרומות</v>
          </cell>
          <cell r="C1040">
            <v>2300000</v>
          </cell>
          <cell r="D1040">
            <v>2300000</v>
          </cell>
          <cell r="E1040">
            <v>2300000</v>
          </cell>
        </row>
        <row r="1041">
          <cell r="A1041">
            <v>1829900811</v>
          </cell>
          <cell r="B1041" t="str">
            <v>רשות ספורט עירונית</v>
          </cell>
          <cell r="C1041">
            <v>13309</v>
          </cell>
          <cell r="D1041">
            <v>13309</v>
          </cell>
          <cell r="E1041">
            <v>20179.37</v>
          </cell>
        </row>
        <row r="1042">
          <cell r="A1042">
            <v>1829900910</v>
          </cell>
          <cell r="B1042" t="str">
            <v>השתת'  בתקציב בלתי רגיל</v>
          </cell>
          <cell r="C1042">
            <v>17000</v>
          </cell>
          <cell r="D1042">
            <v>17000</v>
          </cell>
          <cell r="E1042">
            <v>12500</v>
          </cell>
        </row>
        <row r="1043">
          <cell r="A1043">
            <v>1829910810</v>
          </cell>
          <cell r="B1043" t="str">
            <v>השתתפות בפעילות אזורית לקידום הספורט</v>
          </cell>
          <cell r="C1043">
            <v>250000</v>
          </cell>
          <cell r="D1043">
            <v>250000</v>
          </cell>
          <cell r="E1043">
            <v>23200</v>
          </cell>
        </row>
        <row r="1044">
          <cell r="A1044">
            <v>1836100810</v>
          </cell>
          <cell r="B1044" t="str">
            <v>מד"א-השתתפות</v>
          </cell>
          <cell r="C1044">
            <v>180000</v>
          </cell>
          <cell r="D1044">
            <v>180000</v>
          </cell>
          <cell r="E1044">
            <v>180000</v>
          </cell>
        </row>
        <row r="1045">
          <cell r="A1045">
            <v>1839000810</v>
          </cell>
          <cell r="B1045" t="str">
            <v>השתתפויות ותרומות</v>
          </cell>
          <cell r="C1045">
            <v>0</v>
          </cell>
          <cell r="E1045">
            <v>0</v>
          </cell>
        </row>
        <row r="1046">
          <cell r="A1046">
            <v>1839001810</v>
          </cell>
          <cell r="B1046" t="str">
            <v>מרכז אזורי לקשיש-השתתפ</v>
          </cell>
          <cell r="C1046">
            <v>0</v>
          </cell>
          <cell r="E1046">
            <v>0</v>
          </cell>
        </row>
        <row r="1047">
          <cell r="A1047">
            <v>1840000399</v>
          </cell>
          <cell r="B1047" t="str">
            <v>הפרשה לדמי הבראה ומענק</v>
          </cell>
          <cell r="C1047">
            <v>0</v>
          </cell>
          <cell r="E1047">
            <v>0</v>
          </cell>
        </row>
        <row r="1048">
          <cell r="A1048">
            <v>1840000910</v>
          </cell>
          <cell r="B1048" t="str">
            <v>העברה לתב"ר</v>
          </cell>
          <cell r="C1048">
            <v>35000</v>
          </cell>
          <cell r="D1048">
            <v>35000</v>
          </cell>
          <cell r="E1048">
            <v>15000</v>
          </cell>
        </row>
        <row r="1049">
          <cell r="A1049">
            <v>1841000110</v>
          </cell>
          <cell r="B1049" t="str">
            <v>שכר עובדי לשכות</v>
          </cell>
          <cell r="C1049">
            <v>7961501</v>
          </cell>
          <cell r="D1049">
            <v>6419325</v>
          </cell>
          <cell r="E1049">
            <v>5223400.63</v>
          </cell>
        </row>
        <row r="1050">
          <cell r="A1050">
            <v>1841000210</v>
          </cell>
          <cell r="B1050" t="str">
            <v>שכ"ע יומיים_סעד</v>
          </cell>
          <cell r="C1050">
            <v>333003</v>
          </cell>
          <cell r="D1050">
            <v>333003</v>
          </cell>
          <cell r="E1050">
            <v>91705.44</v>
          </cell>
        </row>
        <row r="1051">
          <cell r="A1051">
            <v>1841000511</v>
          </cell>
          <cell r="B1051" t="str">
            <v>כיבודים</v>
          </cell>
          <cell r="C1051">
            <v>9800</v>
          </cell>
          <cell r="D1051">
            <v>9800</v>
          </cell>
          <cell r="E1051">
            <v>6212.73</v>
          </cell>
        </row>
        <row r="1052">
          <cell r="A1052">
            <v>1841000512</v>
          </cell>
          <cell r="B1052" t="str">
            <v>רווחה-אש"ל ונסיעות</v>
          </cell>
          <cell r="C1052">
            <v>0</v>
          </cell>
          <cell r="E1052">
            <v>0</v>
          </cell>
        </row>
        <row r="1053">
          <cell r="A1053">
            <v>1841000540</v>
          </cell>
          <cell r="B1053" t="str">
            <v>דואר</v>
          </cell>
          <cell r="C1053">
            <v>0</v>
          </cell>
          <cell r="E1053">
            <v>0</v>
          </cell>
        </row>
        <row r="1054">
          <cell r="A1054">
            <v>1841000560</v>
          </cell>
          <cell r="B1054" t="str">
            <v>מכשירי כתיבה והדפסות</v>
          </cell>
          <cell r="C1054">
            <v>15000</v>
          </cell>
          <cell r="D1054">
            <v>15000</v>
          </cell>
          <cell r="E1054">
            <v>11184.52</v>
          </cell>
        </row>
        <row r="1055">
          <cell r="A1055">
            <v>1841000570</v>
          </cell>
          <cell r="B1055" t="str">
            <v>רווחה-מיכון</v>
          </cell>
          <cell r="C1055">
            <v>13980</v>
          </cell>
          <cell r="D1055">
            <v>13980</v>
          </cell>
          <cell r="E1055">
            <v>10244.9</v>
          </cell>
        </row>
        <row r="1056">
          <cell r="A1056">
            <v>1841000571</v>
          </cell>
          <cell r="B1056" t="str">
            <v>עלות שימוש בתוכנת נוכח</v>
          </cell>
          <cell r="C1056">
            <v>2587</v>
          </cell>
          <cell r="D1056">
            <v>2587</v>
          </cell>
          <cell r="E1056">
            <v>0</v>
          </cell>
        </row>
        <row r="1057">
          <cell r="A1057">
            <v>1841000580</v>
          </cell>
          <cell r="B1057" t="str">
            <v>שונות</v>
          </cell>
          <cell r="C1057">
            <v>69015</v>
          </cell>
          <cell r="D1057">
            <v>69015</v>
          </cell>
          <cell r="E1057">
            <v>49849.7</v>
          </cell>
        </row>
        <row r="1058">
          <cell r="A1058">
            <v>1841000750</v>
          </cell>
          <cell r="B1058" t="str">
            <v>עבודות קבלניות שמירה</v>
          </cell>
          <cell r="C1058">
            <v>97000</v>
          </cell>
          <cell r="D1058">
            <v>97000</v>
          </cell>
          <cell r="E1058">
            <v>82356</v>
          </cell>
        </row>
        <row r="1059">
          <cell r="A1059">
            <v>1841000780</v>
          </cell>
          <cell r="B1059" t="str">
            <v>הוצ' אחרות</v>
          </cell>
          <cell r="C1059">
            <v>0</v>
          </cell>
          <cell r="E1059">
            <v>11.17</v>
          </cell>
        </row>
        <row r="1060">
          <cell r="A1060">
            <v>1841000811</v>
          </cell>
          <cell r="B1060" t="str">
            <v>עיר ללא אלימות-פר 3,2,</v>
          </cell>
          <cell r="C1060">
            <v>0</v>
          </cell>
          <cell r="E1060">
            <v>0</v>
          </cell>
        </row>
        <row r="1061">
          <cell r="A1061">
            <v>1841000841</v>
          </cell>
          <cell r="B1061" t="str">
            <v>הוצאות מנהליות</v>
          </cell>
          <cell r="C1061">
            <v>0</v>
          </cell>
          <cell r="E1061">
            <v>0</v>
          </cell>
        </row>
        <row r="1062">
          <cell r="A1062">
            <v>1841000843</v>
          </cell>
          <cell r="B1062" t="str">
            <v>פעולות ארגוניות</v>
          </cell>
          <cell r="C1062">
            <v>20000</v>
          </cell>
          <cell r="D1062">
            <v>20000</v>
          </cell>
          <cell r="E1062">
            <v>20000</v>
          </cell>
        </row>
        <row r="1063">
          <cell r="A1063">
            <v>1841000844</v>
          </cell>
          <cell r="B1063" t="str">
            <v>כ"א לחינוך המיוחד</v>
          </cell>
          <cell r="C1063">
            <v>0</v>
          </cell>
          <cell r="E1063">
            <v>0</v>
          </cell>
        </row>
        <row r="1064">
          <cell r="A1064">
            <v>1841000845</v>
          </cell>
          <cell r="B1064" t="str">
            <v>הערכות המחלקות לש"ח</v>
          </cell>
          <cell r="C1064">
            <v>0</v>
          </cell>
          <cell r="E1064">
            <v>0</v>
          </cell>
        </row>
        <row r="1065">
          <cell r="A1065">
            <v>1841000846</v>
          </cell>
          <cell r="B1065" t="str">
            <v>מחשוב מחלקות רווחה</v>
          </cell>
          <cell r="C1065">
            <v>22000</v>
          </cell>
          <cell r="D1065">
            <v>22000</v>
          </cell>
          <cell r="E1065">
            <v>6955.88</v>
          </cell>
        </row>
        <row r="1066">
          <cell r="A1066">
            <v>1841000847</v>
          </cell>
          <cell r="B1066" t="str">
            <v>בטחון עובדים-מאבטחים</v>
          </cell>
          <cell r="C1066">
            <v>0</v>
          </cell>
          <cell r="E1066">
            <v>0</v>
          </cell>
        </row>
        <row r="1067">
          <cell r="A1067">
            <v>1841000910</v>
          </cell>
          <cell r="B1067" t="str">
            <v>עיר ללא אלימות</v>
          </cell>
          <cell r="C1067">
            <v>67297</v>
          </cell>
          <cell r="D1067">
            <v>67297</v>
          </cell>
          <cell r="E1067">
            <v>67297</v>
          </cell>
        </row>
        <row r="1068">
          <cell r="A1068">
            <v>1841000980</v>
          </cell>
          <cell r="B1068" t="str">
            <v>הוצאות אחרות בלתי רגיל</v>
          </cell>
          <cell r="C1068">
            <v>222935</v>
          </cell>
          <cell r="D1068">
            <v>222935</v>
          </cell>
          <cell r="E1068">
            <v>247207.86</v>
          </cell>
        </row>
        <row r="1069">
          <cell r="A1069">
            <v>1841100750</v>
          </cell>
          <cell r="B1069" t="str">
            <v>עבודות קבלניות</v>
          </cell>
          <cell r="C1069">
            <v>150000</v>
          </cell>
          <cell r="D1069">
            <v>150000</v>
          </cell>
          <cell r="E1069">
            <v>112608</v>
          </cell>
        </row>
        <row r="1070">
          <cell r="A1070">
            <v>1842200840</v>
          </cell>
          <cell r="B1070" t="str">
            <v>משפחות במצוקה בקהילה</v>
          </cell>
          <cell r="C1070">
            <v>163600</v>
          </cell>
          <cell r="D1070">
            <v>163600</v>
          </cell>
          <cell r="E1070">
            <v>103118.99</v>
          </cell>
        </row>
        <row r="1071">
          <cell r="A1071">
            <v>1842200841</v>
          </cell>
          <cell r="B1071" t="str">
            <v>טיפול באלכוהוליסטים</v>
          </cell>
          <cell r="C1071">
            <v>0</v>
          </cell>
          <cell r="E1071">
            <v>0</v>
          </cell>
        </row>
        <row r="1072">
          <cell r="A1072">
            <v>1842200842</v>
          </cell>
          <cell r="B1072" t="str">
            <v>קייטנה לאמהות</v>
          </cell>
          <cell r="C1072">
            <v>3467</v>
          </cell>
          <cell r="D1072">
            <v>3467</v>
          </cell>
          <cell r="E1072">
            <v>0</v>
          </cell>
        </row>
        <row r="1073">
          <cell r="A1073">
            <v>1842200843</v>
          </cell>
          <cell r="B1073" t="str">
            <v>סיוע למשפחות עם ילדים</v>
          </cell>
          <cell r="C1073">
            <v>150000</v>
          </cell>
          <cell r="D1073">
            <v>150000</v>
          </cell>
          <cell r="E1073">
            <v>162564</v>
          </cell>
        </row>
        <row r="1074">
          <cell r="A1074">
            <v>1842200844</v>
          </cell>
          <cell r="B1074" t="str">
            <v>מס.ארציות לדרי רחוב</v>
          </cell>
          <cell r="C1074">
            <v>2000</v>
          </cell>
          <cell r="D1074">
            <v>2000</v>
          </cell>
          <cell r="E1074">
            <v>0</v>
          </cell>
        </row>
        <row r="1075">
          <cell r="A1075">
            <v>1842200845</v>
          </cell>
          <cell r="B1075" t="str">
            <v>תגבור אזור העימות</v>
          </cell>
          <cell r="C1075">
            <v>0</v>
          </cell>
          <cell r="E1075">
            <v>0</v>
          </cell>
        </row>
        <row r="1076">
          <cell r="A1076">
            <v>1842200846</v>
          </cell>
          <cell r="B1076" t="str">
            <v>מקלטים לנשים מוכות</v>
          </cell>
          <cell r="C1076">
            <v>150000</v>
          </cell>
          <cell r="D1076">
            <v>150000</v>
          </cell>
          <cell r="E1076">
            <v>208846</v>
          </cell>
        </row>
        <row r="1077">
          <cell r="A1077">
            <v>1842200847</v>
          </cell>
          <cell r="B1077" t="str">
            <v>דרי רחוב -חיזוק הצפון</v>
          </cell>
          <cell r="C1077">
            <v>0</v>
          </cell>
          <cell r="E1077">
            <v>0</v>
          </cell>
        </row>
        <row r="1078">
          <cell r="A1078">
            <v>1842200848</v>
          </cell>
          <cell r="B1078" t="str">
            <v>סיוע חד פעמי לחימום</v>
          </cell>
          <cell r="C1078">
            <v>0</v>
          </cell>
          <cell r="E1078">
            <v>0</v>
          </cell>
        </row>
        <row r="1079">
          <cell r="A1079">
            <v>1842400840</v>
          </cell>
          <cell r="B1079" t="str">
            <v>הפעלת חוק סדרי-דין</v>
          </cell>
          <cell r="C1079">
            <v>0</v>
          </cell>
          <cell r="E1079">
            <v>0</v>
          </cell>
        </row>
        <row r="1080">
          <cell r="A1080">
            <v>1842400841</v>
          </cell>
          <cell r="B1080" t="str">
            <v>תחנות לטיפול במשפחה</v>
          </cell>
          <cell r="C1080">
            <v>12000</v>
          </cell>
          <cell r="D1080">
            <v>12000</v>
          </cell>
          <cell r="E1080">
            <v>692</v>
          </cell>
        </row>
        <row r="1081">
          <cell r="A1081">
            <v>1842400843</v>
          </cell>
          <cell r="B1081" t="str">
            <v>טיפ.במשפחה-פר אופק</v>
          </cell>
          <cell r="C1081">
            <v>0</v>
          </cell>
          <cell r="E1081">
            <v>0</v>
          </cell>
        </row>
        <row r="1082">
          <cell r="A1082">
            <v>1842400844</v>
          </cell>
          <cell r="B1082" t="str">
            <v>מרכזי טיפול במשפחה</v>
          </cell>
          <cell r="C1082">
            <v>12000</v>
          </cell>
          <cell r="D1082">
            <v>12000</v>
          </cell>
          <cell r="E1082">
            <v>0</v>
          </cell>
        </row>
        <row r="1083">
          <cell r="A1083">
            <v>1842400845</v>
          </cell>
          <cell r="B1083" t="str">
            <v>מרכזי טיפול באלימות</v>
          </cell>
          <cell r="C1083">
            <v>50000</v>
          </cell>
          <cell r="D1083">
            <v>50000</v>
          </cell>
          <cell r="E1083">
            <v>31740.71</v>
          </cell>
        </row>
        <row r="1084">
          <cell r="A1084">
            <v>1842400846</v>
          </cell>
          <cell r="B1084" t="str">
            <v>סדנאות למשפחה</v>
          </cell>
          <cell r="C1084">
            <v>0</v>
          </cell>
          <cell r="E1084">
            <v>0</v>
          </cell>
        </row>
        <row r="1085">
          <cell r="A1085">
            <v>1842401840</v>
          </cell>
          <cell r="B1085" t="str">
            <v>ת. לאומית פרט ומשפחה</v>
          </cell>
          <cell r="C1085">
            <v>180000</v>
          </cell>
          <cell r="D1085">
            <v>180000</v>
          </cell>
          <cell r="E1085">
            <v>180000</v>
          </cell>
        </row>
        <row r="1086">
          <cell r="A1086">
            <v>1843210110</v>
          </cell>
          <cell r="B1086" t="str">
            <v>משכורת</v>
          </cell>
          <cell r="C1086">
            <v>0</v>
          </cell>
          <cell r="E1086">
            <v>0</v>
          </cell>
        </row>
        <row r="1087">
          <cell r="A1087">
            <v>1843500210</v>
          </cell>
          <cell r="B1087" t="str">
            <v>שכ"ע עו"ס</v>
          </cell>
          <cell r="C1087">
            <v>0</v>
          </cell>
          <cell r="E1087">
            <v>78767.990000000005</v>
          </cell>
        </row>
        <row r="1088">
          <cell r="A1088">
            <v>1843500841</v>
          </cell>
          <cell r="B1088" t="str">
            <v>טיפול במשפחות אומנה</v>
          </cell>
          <cell r="C1088">
            <v>201200</v>
          </cell>
          <cell r="D1088">
            <v>201200</v>
          </cell>
          <cell r="E1088">
            <v>208978</v>
          </cell>
        </row>
        <row r="1089">
          <cell r="A1089">
            <v>1843500842</v>
          </cell>
          <cell r="B1089" t="str">
            <v>טיפול בילד בקהילה</v>
          </cell>
          <cell r="C1089">
            <v>622133</v>
          </cell>
          <cell r="D1089">
            <v>622133</v>
          </cell>
          <cell r="E1089">
            <v>495171</v>
          </cell>
        </row>
        <row r="1090">
          <cell r="A1090">
            <v>1843500843</v>
          </cell>
          <cell r="B1090" t="str">
            <v>ת.לאומית-אוטיסטים</v>
          </cell>
          <cell r="C1090">
            <v>0</v>
          </cell>
          <cell r="E1090">
            <v>0</v>
          </cell>
        </row>
        <row r="1091">
          <cell r="A1091">
            <v>1843500844</v>
          </cell>
          <cell r="B1091" t="str">
            <v>ת.לאומית-ילד ונוער</v>
          </cell>
          <cell r="C1091">
            <v>60000</v>
          </cell>
          <cell r="D1091">
            <v>60000</v>
          </cell>
          <cell r="E1091">
            <v>10283</v>
          </cell>
        </row>
        <row r="1092">
          <cell r="A1092">
            <v>1843500845</v>
          </cell>
          <cell r="B1092" t="str">
            <v>מועדוניות משותפות</v>
          </cell>
          <cell r="C1092">
            <v>133817</v>
          </cell>
          <cell r="D1092">
            <v>133817</v>
          </cell>
          <cell r="E1092">
            <v>70480.240000000005</v>
          </cell>
        </row>
        <row r="1093">
          <cell r="A1093">
            <v>1843500847</v>
          </cell>
          <cell r="B1093" t="str">
            <v>יצירת קשר הורים-ילדים</v>
          </cell>
          <cell r="C1093">
            <v>11145</v>
          </cell>
          <cell r="D1093">
            <v>11145</v>
          </cell>
          <cell r="E1093">
            <v>7641</v>
          </cell>
        </row>
        <row r="1094">
          <cell r="A1094">
            <v>1843500848</v>
          </cell>
          <cell r="B1094" t="str">
            <v>טיפ.בילד בקהילה-אופק</v>
          </cell>
          <cell r="C1094">
            <v>0</v>
          </cell>
          <cell r="E1094">
            <v>0</v>
          </cell>
        </row>
        <row r="1095">
          <cell r="A1095">
            <v>1843500849</v>
          </cell>
          <cell r="B1095" t="str">
            <v>טיפול בפגיעת מיניות</v>
          </cell>
          <cell r="C1095">
            <v>30000</v>
          </cell>
          <cell r="D1095">
            <v>30000</v>
          </cell>
          <cell r="E1095">
            <v>27328</v>
          </cell>
        </row>
        <row r="1096">
          <cell r="A1096">
            <v>1843800110</v>
          </cell>
          <cell r="B1096" t="str">
            <v>שכר עם הפנים לקהילה</v>
          </cell>
          <cell r="C1096">
            <v>243580</v>
          </cell>
          <cell r="D1096">
            <v>243580</v>
          </cell>
          <cell r="E1096">
            <v>63852.87</v>
          </cell>
        </row>
        <row r="1097">
          <cell r="A1097">
            <v>1843800840</v>
          </cell>
          <cell r="B1097" t="str">
            <v>אחזקת ילדים בפנימיות</v>
          </cell>
          <cell r="C1097">
            <v>3950000</v>
          </cell>
          <cell r="D1097">
            <v>3427080</v>
          </cell>
          <cell r="E1097">
            <v>3108490</v>
          </cell>
        </row>
        <row r="1098">
          <cell r="A1098">
            <v>1843800841</v>
          </cell>
          <cell r="B1098" t="str">
            <v>הוצאה נוספת -בפנימיות</v>
          </cell>
          <cell r="C1098">
            <v>0</v>
          </cell>
          <cell r="E1098">
            <v>0</v>
          </cell>
        </row>
        <row r="1099">
          <cell r="A1099">
            <v>1843800842</v>
          </cell>
          <cell r="B1099" t="str">
            <v>טפול במשפחות אומנה</v>
          </cell>
          <cell r="C1099">
            <v>0</v>
          </cell>
          <cell r="E1099">
            <v>26046</v>
          </cell>
        </row>
        <row r="1100">
          <cell r="A1100">
            <v>1843800844</v>
          </cell>
          <cell r="B1100" t="str">
            <v>ניסוי "קהילה 2000"</v>
          </cell>
          <cell r="C1100">
            <v>0</v>
          </cell>
          <cell r="E1100">
            <v>0</v>
          </cell>
        </row>
        <row r="1101">
          <cell r="A1101">
            <v>1843800845</v>
          </cell>
          <cell r="B1101" t="str">
            <v>תכנית עם הפנים לקהילה</v>
          </cell>
          <cell r="C1101">
            <v>231421</v>
          </cell>
          <cell r="D1101">
            <v>231421</v>
          </cell>
          <cell r="E1101">
            <v>231120</v>
          </cell>
        </row>
        <row r="1102">
          <cell r="A1102">
            <v>1843900840</v>
          </cell>
          <cell r="B1102" t="str">
            <v>ילדים במעונות יום</v>
          </cell>
          <cell r="C1102">
            <v>2500000</v>
          </cell>
          <cell r="D1102">
            <v>2237830</v>
          </cell>
          <cell r="E1102">
            <v>1882609</v>
          </cell>
        </row>
        <row r="1103">
          <cell r="A1103">
            <v>1844000430</v>
          </cell>
          <cell r="B1103" t="str">
            <v>מים וחשמל-מועדון קשישים</v>
          </cell>
          <cell r="C1103">
            <v>17000</v>
          </cell>
          <cell r="D1103">
            <v>17000</v>
          </cell>
          <cell r="E1103">
            <v>535.61</v>
          </cell>
        </row>
        <row r="1104">
          <cell r="A1104">
            <v>1844300430</v>
          </cell>
          <cell r="B1104" t="str">
            <v>החזקת זקנים במוסדות</v>
          </cell>
          <cell r="C1104">
            <v>0</v>
          </cell>
          <cell r="E1104">
            <v>0</v>
          </cell>
        </row>
        <row r="1105">
          <cell r="A1105">
            <v>1844300840</v>
          </cell>
          <cell r="B1105" t="str">
            <v>אחזקת זקנים במעונות</v>
          </cell>
          <cell r="C1105">
            <v>4700000</v>
          </cell>
          <cell r="D1105">
            <v>4536400</v>
          </cell>
          <cell r="E1105">
            <v>3621506</v>
          </cell>
        </row>
        <row r="1106">
          <cell r="A1106">
            <v>1844400780</v>
          </cell>
          <cell r="B1106" t="str">
            <v>שכונה תומכת+קהילה תומכת</v>
          </cell>
          <cell r="C1106">
            <v>75000</v>
          </cell>
          <cell r="D1106">
            <v>75000</v>
          </cell>
          <cell r="E1106">
            <v>75000</v>
          </cell>
        </row>
        <row r="1107">
          <cell r="A1107">
            <v>1844400840</v>
          </cell>
          <cell r="B1107" t="str">
            <v>דיור מוגן לקשישים</v>
          </cell>
          <cell r="C1107">
            <v>0</v>
          </cell>
          <cell r="E1107">
            <v>0</v>
          </cell>
        </row>
        <row r="1108">
          <cell r="A1108">
            <v>1844400841</v>
          </cell>
          <cell r="B1108" t="str">
            <v>שירותים לניצולי שואה</v>
          </cell>
          <cell r="C1108">
            <v>0</v>
          </cell>
          <cell r="E1108">
            <v>0</v>
          </cell>
        </row>
        <row r="1109">
          <cell r="A1109">
            <v>1844400842</v>
          </cell>
          <cell r="B1109" t="str">
            <v>טיפול בזקן בקהילה</v>
          </cell>
          <cell r="C1109">
            <v>105333</v>
          </cell>
          <cell r="D1109">
            <v>105333</v>
          </cell>
          <cell r="E1109">
            <v>87005</v>
          </cell>
        </row>
        <row r="1110">
          <cell r="A1110">
            <v>1844400843</v>
          </cell>
          <cell r="B1110" t="str">
            <v>טיפ.שיניים ומכ.לקשיש</v>
          </cell>
          <cell r="C1110">
            <v>0</v>
          </cell>
          <cell r="E1110">
            <v>-9313</v>
          </cell>
        </row>
        <row r="1111">
          <cell r="A1111">
            <v>1844400844</v>
          </cell>
          <cell r="B1111" t="str">
            <v>מרכזי ועדות-חוק סעוד</v>
          </cell>
          <cell r="C1111">
            <v>0</v>
          </cell>
          <cell r="E1111">
            <v>0</v>
          </cell>
        </row>
        <row r="1112">
          <cell r="A1112">
            <v>1844400845</v>
          </cell>
          <cell r="B1112" t="str">
            <v>מועדונים לזקנים</v>
          </cell>
          <cell r="C1112">
            <v>32000</v>
          </cell>
          <cell r="D1112">
            <v>32000</v>
          </cell>
          <cell r="E1112">
            <v>20212.79</v>
          </cell>
        </row>
        <row r="1113">
          <cell r="A1113">
            <v>1844400849</v>
          </cell>
          <cell r="B1113" t="str">
            <v>שכונה תומכת</v>
          </cell>
          <cell r="C1113">
            <v>151000</v>
          </cell>
          <cell r="D1113">
            <v>151000</v>
          </cell>
          <cell r="E1113">
            <v>135646</v>
          </cell>
        </row>
        <row r="1114">
          <cell r="A1114">
            <v>1844400850</v>
          </cell>
          <cell r="B1114" t="str">
            <v>צרכים לזקן-קו עימות</v>
          </cell>
          <cell r="C1114">
            <v>0</v>
          </cell>
          <cell r="E1114">
            <v>0</v>
          </cell>
        </row>
        <row r="1115">
          <cell r="A1115">
            <v>1844500840</v>
          </cell>
          <cell r="B1115" t="str">
            <v>מסגרות יומיות לזקן</v>
          </cell>
          <cell r="C1115">
            <v>611404</v>
          </cell>
          <cell r="D1115">
            <v>611404</v>
          </cell>
          <cell r="E1115">
            <v>626247</v>
          </cell>
        </row>
        <row r="1116">
          <cell r="A1116">
            <v>1844500843</v>
          </cell>
          <cell r="B1116" t="str">
            <v>מועדונים מועשרים</v>
          </cell>
          <cell r="C1116">
            <v>133333</v>
          </cell>
          <cell r="D1116">
            <v>133333</v>
          </cell>
          <cell r="E1116">
            <v>66500</v>
          </cell>
        </row>
        <row r="1117">
          <cell r="A1117">
            <v>1845100840</v>
          </cell>
          <cell r="B1117" t="str">
            <v>סדור מפגרים במוסדות</v>
          </cell>
          <cell r="C1117">
            <v>9000000</v>
          </cell>
          <cell r="D1117">
            <v>8245830</v>
          </cell>
          <cell r="E1117">
            <v>6832193</v>
          </cell>
        </row>
        <row r="1118">
          <cell r="A1118">
            <v>1845100841</v>
          </cell>
          <cell r="B1118" t="str">
            <v>מפגרים במוסד ממשלתי</v>
          </cell>
          <cell r="C1118">
            <v>3000000</v>
          </cell>
          <cell r="D1118">
            <v>3124000</v>
          </cell>
          <cell r="E1118">
            <v>2637903</v>
          </cell>
        </row>
        <row r="1119">
          <cell r="A1119">
            <v>1845100842</v>
          </cell>
          <cell r="B1119" t="str">
            <v>אחזקת אוטיסטים במסגר</v>
          </cell>
          <cell r="C1119">
            <v>478400</v>
          </cell>
          <cell r="D1119">
            <v>478400</v>
          </cell>
          <cell r="E1119">
            <v>512890</v>
          </cell>
        </row>
        <row r="1120">
          <cell r="A1120">
            <v>1845100843</v>
          </cell>
          <cell r="B1120" t="str">
            <v>טיפול בהורים ובילדיה</v>
          </cell>
          <cell r="C1120">
            <v>37440</v>
          </cell>
          <cell r="D1120">
            <v>37440</v>
          </cell>
          <cell r="E1120">
            <v>50146</v>
          </cell>
        </row>
        <row r="1121">
          <cell r="A1121">
            <v>1845100844</v>
          </cell>
          <cell r="B1121" t="str">
            <v>נופשונים וקייטנות</v>
          </cell>
          <cell r="C1121">
            <v>0</v>
          </cell>
          <cell r="E1121">
            <v>1280</v>
          </cell>
        </row>
        <row r="1122">
          <cell r="A1122">
            <v>1845100845</v>
          </cell>
          <cell r="B1122" t="str">
            <v>משפחות אומנה למפגר</v>
          </cell>
          <cell r="C1122">
            <v>34800</v>
          </cell>
          <cell r="D1122">
            <v>34800</v>
          </cell>
          <cell r="E1122">
            <v>21568</v>
          </cell>
        </row>
        <row r="1123">
          <cell r="A1123">
            <v>1845100846</v>
          </cell>
          <cell r="B1123" t="str">
            <v>מ.יום שיקומי לאוטיסט</v>
          </cell>
          <cell r="C1123">
            <v>77024</v>
          </cell>
          <cell r="D1123">
            <v>77024</v>
          </cell>
          <cell r="E1123">
            <v>106852</v>
          </cell>
        </row>
        <row r="1124">
          <cell r="A1124">
            <v>1845100847</v>
          </cell>
          <cell r="B1124" t="str">
            <v>תמיכה באוטיסטים-צפון</v>
          </cell>
          <cell r="C1124">
            <v>0</v>
          </cell>
          <cell r="E1124">
            <v>0</v>
          </cell>
        </row>
        <row r="1125">
          <cell r="A1125">
            <v>1845200110</v>
          </cell>
          <cell r="B1125" t="str">
            <v>מפגרים מעון יום</v>
          </cell>
          <cell r="C1125">
            <v>70894</v>
          </cell>
          <cell r="D1125">
            <v>70894</v>
          </cell>
          <cell r="E1125">
            <v>58541.16</v>
          </cell>
        </row>
        <row r="1126">
          <cell r="A1126">
            <v>1845200210</v>
          </cell>
          <cell r="B1126" t="str">
            <v>שכ"ע זמניים</v>
          </cell>
          <cell r="C1126">
            <v>133001</v>
          </cell>
          <cell r="D1126">
            <v>133001</v>
          </cell>
          <cell r="E1126">
            <v>116393.9</v>
          </cell>
        </row>
        <row r="1127">
          <cell r="A1127">
            <v>1845200840</v>
          </cell>
          <cell r="B1127" t="str">
            <v>מפגרים במעון אומונ'</v>
          </cell>
          <cell r="C1127">
            <v>22523</v>
          </cell>
          <cell r="D1127">
            <v>22523</v>
          </cell>
          <cell r="E1127">
            <v>15708</v>
          </cell>
        </row>
        <row r="1128">
          <cell r="A1128">
            <v>1845200841</v>
          </cell>
          <cell r="B1128" t="str">
            <v>מפגרים במעון טיפולי)דק</v>
          </cell>
          <cell r="C1128">
            <v>245800</v>
          </cell>
          <cell r="D1128">
            <v>245800</v>
          </cell>
          <cell r="E1128">
            <v>186279.45</v>
          </cell>
        </row>
        <row r="1129">
          <cell r="A1129">
            <v>1845200842</v>
          </cell>
          <cell r="B1129" t="str">
            <v>מעשי"ם .</v>
          </cell>
          <cell r="C1129">
            <v>595000</v>
          </cell>
          <cell r="D1129">
            <v>634000</v>
          </cell>
          <cell r="E1129">
            <v>447442</v>
          </cell>
        </row>
        <row r="1130">
          <cell r="A1130">
            <v>1845200843</v>
          </cell>
          <cell r="B1130" t="str">
            <v>פרוייקט ניסויי</v>
          </cell>
          <cell r="C1130">
            <v>0</v>
          </cell>
          <cell r="E1130">
            <v>0</v>
          </cell>
        </row>
        <row r="1131">
          <cell r="A1131">
            <v>1845200844</v>
          </cell>
          <cell r="B1131" t="str">
            <v>מסגרת יום ארוך</v>
          </cell>
          <cell r="C1131">
            <v>0</v>
          </cell>
          <cell r="E1131">
            <v>0</v>
          </cell>
        </row>
        <row r="1132">
          <cell r="A1132">
            <v>1845200845</v>
          </cell>
          <cell r="B1132" t="str">
            <v>מ.יום שיקומי למפגר</v>
          </cell>
          <cell r="C1132">
            <v>77024</v>
          </cell>
          <cell r="D1132">
            <v>77024</v>
          </cell>
          <cell r="E1132">
            <v>0</v>
          </cell>
        </row>
        <row r="1133">
          <cell r="A1133">
            <v>1845300840</v>
          </cell>
          <cell r="B1133" t="str">
            <v>שרותים תומכים למפגר</v>
          </cell>
          <cell r="C1133">
            <v>141667</v>
          </cell>
          <cell r="D1133">
            <v>141667</v>
          </cell>
          <cell r="E1133">
            <v>24043</v>
          </cell>
        </row>
        <row r="1134">
          <cell r="A1134">
            <v>1845300841</v>
          </cell>
          <cell r="B1134" t="str">
            <v>נופשונים למפגר</v>
          </cell>
          <cell r="C1134">
            <v>62467</v>
          </cell>
          <cell r="D1134">
            <v>62467</v>
          </cell>
          <cell r="E1134">
            <v>19522</v>
          </cell>
        </row>
        <row r="1135">
          <cell r="A1135">
            <v>1845300843</v>
          </cell>
          <cell r="B1135" t="str">
            <v>מועדונים חברת.למפגר</v>
          </cell>
          <cell r="C1135">
            <v>20000</v>
          </cell>
          <cell r="D1135">
            <v>20000</v>
          </cell>
          <cell r="E1135">
            <v>18883</v>
          </cell>
        </row>
        <row r="1136">
          <cell r="A1136">
            <v>1845300844</v>
          </cell>
          <cell r="B1136" t="str">
            <v>נופשונים למפגר-צפון</v>
          </cell>
          <cell r="C1136">
            <v>0</v>
          </cell>
          <cell r="E1136">
            <v>0</v>
          </cell>
        </row>
        <row r="1137">
          <cell r="A1137">
            <v>1845300845</v>
          </cell>
          <cell r="B1137" t="str">
            <v>הסעות למ.יום למפגר</v>
          </cell>
          <cell r="C1137">
            <v>221000</v>
          </cell>
          <cell r="D1137">
            <v>221000</v>
          </cell>
          <cell r="E1137">
            <v>243673</v>
          </cell>
        </row>
        <row r="1138">
          <cell r="A1138">
            <v>1846100840</v>
          </cell>
          <cell r="B1138" t="str">
            <v>ילדים עוורים במוסדות</v>
          </cell>
          <cell r="C1138">
            <v>117129</v>
          </cell>
          <cell r="D1138">
            <v>117129</v>
          </cell>
          <cell r="E1138">
            <v>83135</v>
          </cell>
        </row>
        <row r="1139">
          <cell r="A1139">
            <v>1846300840</v>
          </cell>
          <cell r="B1139" t="str">
            <v>דמי לווי לעיוור</v>
          </cell>
          <cell r="C1139">
            <v>0</v>
          </cell>
          <cell r="E1139">
            <v>0</v>
          </cell>
        </row>
        <row r="1140">
          <cell r="A1140">
            <v>1846300841</v>
          </cell>
          <cell r="B1140" t="str">
            <v>הדרכת עוור ובני ביתו</v>
          </cell>
          <cell r="C1140">
            <v>50000</v>
          </cell>
          <cell r="D1140">
            <v>50000</v>
          </cell>
          <cell r="E1140">
            <v>29562</v>
          </cell>
        </row>
        <row r="1141">
          <cell r="A1141">
            <v>1846300843</v>
          </cell>
          <cell r="B1141" t="str">
            <v>שיקום העוור בקהילה</v>
          </cell>
          <cell r="C1141">
            <v>10000</v>
          </cell>
          <cell r="D1141">
            <v>10000</v>
          </cell>
          <cell r="E1141">
            <v>7557.9</v>
          </cell>
        </row>
        <row r="1142">
          <cell r="A1142">
            <v>1846400780</v>
          </cell>
          <cell r="B1142" t="str">
            <v>הוצאות שונות</v>
          </cell>
          <cell r="C1142">
            <v>7500</v>
          </cell>
          <cell r="D1142">
            <v>7500</v>
          </cell>
          <cell r="E1142">
            <v>8123.48</v>
          </cell>
        </row>
        <row r="1143">
          <cell r="A1143">
            <v>1846400840</v>
          </cell>
          <cell r="B1143" t="str">
            <v>מפעלי תעסוקה ומועדון</v>
          </cell>
          <cell r="C1143">
            <v>0</v>
          </cell>
          <cell r="E1143">
            <v>0</v>
          </cell>
        </row>
        <row r="1144">
          <cell r="A1144">
            <v>1846400841</v>
          </cell>
          <cell r="B1144" t="str">
            <v>מפעלי שיקום לעוור</v>
          </cell>
          <cell r="C1144">
            <v>192000</v>
          </cell>
          <cell r="D1144">
            <v>56300</v>
          </cell>
          <cell r="E1144">
            <v>82130</v>
          </cell>
        </row>
        <row r="1145">
          <cell r="A1145">
            <v>1846500840</v>
          </cell>
          <cell r="B1145" t="str">
            <v>אחזקת נכים בפנימיות</v>
          </cell>
          <cell r="C1145">
            <v>2200000</v>
          </cell>
          <cell r="D1145">
            <v>2300000</v>
          </cell>
          <cell r="E1145">
            <v>1648624</v>
          </cell>
        </row>
        <row r="1146">
          <cell r="A1146">
            <v>1846500841</v>
          </cell>
          <cell r="B1146" t="str">
            <v>נכים בפנימיות-צפון</v>
          </cell>
          <cell r="C1146">
            <v>0</v>
          </cell>
          <cell r="E1146">
            <v>0</v>
          </cell>
        </row>
        <row r="1147">
          <cell r="A1147">
            <v>1846600840</v>
          </cell>
          <cell r="B1147" t="str">
            <v>מס' יום לילד המוגבל</v>
          </cell>
          <cell r="C1147">
            <v>86400</v>
          </cell>
          <cell r="D1147">
            <v>35660</v>
          </cell>
          <cell r="E1147">
            <v>49797</v>
          </cell>
        </row>
        <row r="1148">
          <cell r="A1148">
            <v>1846600841</v>
          </cell>
          <cell r="B1148" t="str">
            <v>תעסוקה מוגנת למוגבל</v>
          </cell>
          <cell r="C1148">
            <v>107100</v>
          </cell>
          <cell r="D1148">
            <v>53860</v>
          </cell>
          <cell r="E1148">
            <v>80248</v>
          </cell>
        </row>
        <row r="1149">
          <cell r="A1149">
            <v>1846700840</v>
          </cell>
          <cell r="B1149" t="str">
            <v>תוכניות לילד החריג</v>
          </cell>
          <cell r="C1149">
            <v>32000</v>
          </cell>
          <cell r="D1149">
            <v>32000</v>
          </cell>
          <cell r="E1149">
            <v>8555</v>
          </cell>
        </row>
        <row r="1150">
          <cell r="A1150">
            <v>1846700841</v>
          </cell>
          <cell r="B1150" t="str">
            <v>תכנית מעבר</v>
          </cell>
          <cell r="C1150">
            <v>0</v>
          </cell>
          <cell r="E1150">
            <v>2800</v>
          </cell>
        </row>
        <row r="1151">
          <cell r="A1151">
            <v>1846700843</v>
          </cell>
          <cell r="B1151" t="str">
            <v>מ.יום שיקומי לנכים</v>
          </cell>
          <cell r="C1151">
            <v>454770</v>
          </cell>
          <cell r="D1151">
            <v>454770</v>
          </cell>
          <cell r="E1151">
            <v>178446</v>
          </cell>
        </row>
        <row r="1152">
          <cell r="A1152">
            <v>1846700844</v>
          </cell>
          <cell r="B1152" t="str">
            <v>הסעות למ.יום שיקומי</v>
          </cell>
          <cell r="C1152">
            <v>475000</v>
          </cell>
          <cell r="D1152">
            <v>475000</v>
          </cell>
          <cell r="E1152">
            <v>197853</v>
          </cell>
        </row>
        <row r="1153">
          <cell r="A1153">
            <v>1846700845</v>
          </cell>
          <cell r="B1153" t="str">
            <v>ליווי למ.יום שיקומי</v>
          </cell>
          <cell r="C1153">
            <v>181500</v>
          </cell>
          <cell r="D1153">
            <v>181500</v>
          </cell>
          <cell r="E1153">
            <v>87227.08</v>
          </cell>
        </row>
        <row r="1154">
          <cell r="A1154">
            <v>1846700846</v>
          </cell>
          <cell r="B1154" t="str">
            <v>נופשונים להבראה</v>
          </cell>
          <cell r="C1154">
            <v>3976</v>
          </cell>
          <cell r="D1154">
            <v>3976</v>
          </cell>
          <cell r="E1154">
            <v>0</v>
          </cell>
        </row>
        <row r="1155">
          <cell r="A1155">
            <v>1846700847</v>
          </cell>
          <cell r="B1155" t="str">
            <v>תכנית מעבר לחרשים</v>
          </cell>
          <cell r="C1155">
            <v>12000</v>
          </cell>
          <cell r="D1155">
            <v>12000</v>
          </cell>
          <cell r="E1155">
            <v>792</v>
          </cell>
        </row>
        <row r="1156">
          <cell r="A1156">
            <v>1846700848</v>
          </cell>
          <cell r="B1156" t="str">
            <v>תעסוקה נתמכת לנכים</v>
          </cell>
          <cell r="C1156">
            <v>12000</v>
          </cell>
          <cell r="D1156">
            <v>12000</v>
          </cell>
          <cell r="E1156">
            <v>3228</v>
          </cell>
        </row>
        <row r="1157">
          <cell r="A1157">
            <v>1846800841</v>
          </cell>
          <cell r="B1157" t="str">
            <v>מפעלי שקום צבוריים</v>
          </cell>
          <cell r="C1157">
            <v>0</v>
          </cell>
          <cell r="E1157">
            <v>0</v>
          </cell>
        </row>
        <row r="1158">
          <cell r="A1158">
            <v>1846800842</v>
          </cell>
          <cell r="B1158" t="str">
            <v>שיקום נכים בקהילה</v>
          </cell>
          <cell r="C1158">
            <v>50000</v>
          </cell>
          <cell r="D1158">
            <v>50000</v>
          </cell>
          <cell r="E1158">
            <v>5483</v>
          </cell>
        </row>
        <row r="1159">
          <cell r="A1159">
            <v>1846800843</v>
          </cell>
          <cell r="B1159" t="str">
            <v>מרכזי איבחון ושיקום</v>
          </cell>
          <cell r="C1159">
            <v>526600</v>
          </cell>
          <cell r="D1159">
            <v>526600</v>
          </cell>
          <cell r="E1159">
            <v>258272</v>
          </cell>
        </row>
        <row r="1160">
          <cell r="A1160">
            <v>1846800844</v>
          </cell>
          <cell r="B1160" t="str">
            <v>נכים קשים בקהילה</v>
          </cell>
          <cell r="C1160">
            <v>50000</v>
          </cell>
          <cell r="D1160">
            <v>50000</v>
          </cell>
          <cell r="E1160">
            <v>39427.4</v>
          </cell>
        </row>
        <row r="1161">
          <cell r="A1161">
            <v>1846800845</v>
          </cell>
          <cell r="B1161" t="str">
            <v>מועדונים לעיוור</v>
          </cell>
          <cell r="C1161">
            <v>151000</v>
          </cell>
          <cell r="D1161">
            <v>147000</v>
          </cell>
          <cell r="E1161">
            <v>107189</v>
          </cell>
        </row>
        <row r="1162">
          <cell r="A1162">
            <v>1846800846</v>
          </cell>
          <cell r="B1162" t="str">
            <v>קהילה תומכת לנכים</v>
          </cell>
          <cell r="C1162">
            <v>324000</v>
          </cell>
          <cell r="D1162">
            <v>200000</v>
          </cell>
          <cell r="E1162">
            <v>130076</v>
          </cell>
        </row>
        <row r="1163">
          <cell r="A1163">
            <v>1846800849</v>
          </cell>
          <cell r="B1163" t="str">
            <v>דמי תקשורת לחירשים</v>
          </cell>
          <cell r="C1163">
            <v>120000</v>
          </cell>
          <cell r="E1163">
            <v>0</v>
          </cell>
        </row>
        <row r="1164">
          <cell r="A1164">
            <v>1847100780</v>
          </cell>
          <cell r="B1164" t="str">
            <v>טיפול בנוער עבריין</v>
          </cell>
          <cell r="C1164">
            <v>24200</v>
          </cell>
          <cell r="D1164">
            <v>24200</v>
          </cell>
          <cell r="E1164">
            <v>9800</v>
          </cell>
        </row>
        <row r="1165">
          <cell r="A1165">
            <v>1847100840</v>
          </cell>
          <cell r="B1165" t="str">
            <v>נוער חרדי מנותק</v>
          </cell>
          <cell r="C1165">
            <v>0</v>
          </cell>
          <cell r="E1165">
            <v>0</v>
          </cell>
        </row>
        <row r="1166">
          <cell r="A1166">
            <v>1847100841</v>
          </cell>
          <cell r="B1166" t="str">
            <v>טפול בנוער ובצעירים</v>
          </cell>
          <cell r="C1166">
            <v>132869</v>
          </cell>
          <cell r="D1166">
            <v>132869</v>
          </cell>
          <cell r="E1166">
            <v>55289.81</v>
          </cell>
        </row>
        <row r="1167">
          <cell r="A1167">
            <v>1847100842</v>
          </cell>
          <cell r="B1167" t="str">
            <v>ת.לאומית נוער וצעיר</v>
          </cell>
          <cell r="C1167">
            <v>0</v>
          </cell>
          <cell r="E1167">
            <v>0</v>
          </cell>
        </row>
        <row r="1168">
          <cell r="A1168">
            <v>1847100843</v>
          </cell>
          <cell r="B1168" t="str">
            <v>טפול בנערות במצוקה</v>
          </cell>
          <cell r="C1168">
            <v>141667</v>
          </cell>
          <cell r="D1168">
            <v>141667</v>
          </cell>
          <cell r="E1168">
            <v>85801.91</v>
          </cell>
        </row>
        <row r="1169">
          <cell r="A1169">
            <v>1847100844</v>
          </cell>
          <cell r="B1169" t="str">
            <v>בתים חמים לנערות</v>
          </cell>
          <cell r="C1169">
            <v>0</v>
          </cell>
          <cell r="E1169">
            <v>0</v>
          </cell>
        </row>
        <row r="1170">
          <cell r="A1170">
            <v>1847100845</v>
          </cell>
          <cell r="B1170" t="str">
            <v>טיפ.בצעירים-פר אופק</v>
          </cell>
          <cell r="C1170">
            <v>165000</v>
          </cell>
          <cell r="D1170">
            <v>165000</v>
          </cell>
          <cell r="E1170">
            <v>162220.94</v>
          </cell>
        </row>
        <row r="1171">
          <cell r="A1171">
            <v>1847100847</v>
          </cell>
          <cell r="B1171" t="str">
            <v>טיפ.בנשים ונער-אופק</v>
          </cell>
          <cell r="C1171">
            <v>0</v>
          </cell>
          <cell r="E1171">
            <v>0</v>
          </cell>
        </row>
        <row r="1172">
          <cell r="A1172">
            <v>1847100848</v>
          </cell>
          <cell r="B1172" t="str">
            <v>שהות במקלט לנערות</v>
          </cell>
          <cell r="C1172">
            <v>0</v>
          </cell>
          <cell r="E1172">
            <v>0</v>
          </cell>
        </row>
        <row r="1173">
          <cell r="A1173">
            <v>1847100850</v>
          </cell>
          <cell r="B1173" t="str">
            <v>בית נועם</v>
          </cell>
          <cell r="C1173">
            <v>0</v>
          </cell>
          <cell r="E1173">
            <v>0</v>
          </cell>
        </row>
        <row r="1174">
          <cell r="A1174">
            <v>1847100851</v>
          </cell>
          <cell r="B1174" t="str">
            <v>מקלטים לנערות</v>
          </cell>
          <cell r="C1174">
            <v>95000</v>
          </cell>
          <cell r="D1174">
            <v>95000</v>
          </cell>
          <cell r="E1174">
            <v>16110</v>
          </cell>
        </row>
        <row r="1175">
          <cell r="A1175">
            <v>1847110842</v>
          </cell>
          <cell r="B1175" t="str">
            <v>תוכנית לאומית נוער וצעירים</v>
          </cell>
          <cell r="C1175">
            <v>80000</v>
          </cell>
          <cell r="D1175">
            <v>80000</v>
          </cell>
          <cell r="E1175">
            <v>51265.3</v>
          </cell>
        </row>
        <row r="1176">
          <cell r="A1176">
            <v>1847200840</v>
          </cell>
          <cell r="B1176" t="str">
            <v>מעונות חסות</v>
          </cell>
          <cell r="C1176">
            <v>0</v>
          </cell>
          <cell r="E1176">
            <v>0</v>
          </cell>
        </row>
        <row r="1177">
          <cell r="A1177">
            <v>1847300810</v>
          </cell>
          <cell r="B1177" t="str">
            <v>תרומה פרוייקט הלוחמה בסמים</v>
          </cell>
          <cell r="C1177">
            <v>15869</v>
          </cell>
          <cell r="D1177">
            <v>15869</v>
          </cell>
          <cell r="E1177">
            <v>0</v>
          </cell>
        </row>
        <row r="1178">
          <cell r="A1178">
            <v>1847300840</v>
          </cell>
          <cell r="B1178" t="str">
            <v>בדיקות למשתמשים בסמים</v>
          </cell>
          <cell r="C1178">
            <v>8000</v>
          </cell>
          <cell r="D1178">
            <v>8000</v>
          </cell>
          <cell r="E1178">
            <v>4000</v>
          </cell>
        </row>
        <row r="1179">
          <cell r="A1179">
            <v>1847300842</v>
          </cell>
          <cell r="B1179" t="str">
            <v>סמים-טיפול בקהילה</v>
          </cell>
          <cell r="C1179">
            <v>19375</v>
          </cell>
          <cell r="D1179">
            <v>19375</v>
          </cell>
          <cell r="E1179">
            <v>20002</v>
          </cell>
        </row>
        <row r="1180">
          <cell r="A1180">
            <v>1847300843</v>
          </cell>
          <cell r="B1180" t="str">
            <v>סמים-טיפ.בקהילה-אופק</v>
          </cell>
          <cell r="C1180">
            <v>0</v>
          </cell>
          <cell r="E1180">
            <v>0</v>
          </cell>
        </row>
        <row r="1181">
          <cell r="A1181">
            <v>1847300844</v>
          </cell>
          <cell r="B1181" t="str">
            <v>טפול באלכוהוליסטים</v>
          </cell>
          <cell r="C1181">
            <v>97666</v>
          </cell>
          <cell r="D1181">
            <v>97666</v>
          </cell>
          <cell r="E1181">
            <v>85131</v>
          </cell>
        </row>
        <row r="1182">
          <cell r="A1182">
            <v>1847300845</v>
          </cell>
          <cell r="B1182" t="str">
            <v>מ. יום לנוער-סמים</v>
          </cell>
          <cell r="C1182">
            <v>10000</v>
          </cell>
          <cell r="D1182">
            <v>10000</v>
          </cell>
          <cell r="E1182">
            <v>0</v>
          </cell>
        </row>
        <row r="1183">
          <cell r="A1183">
            <v>1847400422</v>
          </cell>
          <cell r="B1183" t="str">
            <v>מפת"ן-אחזקת מבנים</v>
          </cell>
          <cell r="C1183">
            <v>25000</v>
          </cell>
          <cell r="D1183">
            <v>25000</v>
          </cell>
          <cell r="E1183">
            <v>39151.65</v>
          </cell>
        </row>
        <row r="1184">
          <cell r="A1184">
            <v>1847400540</v>
          </cell>
          <cell r="B1184" t="str">
            <v>בולים טלפון ומברקים</v>
          </cell>
          <cell r="C1184">
            <v>11000</v>
          </cell>
          <cell r="D1184">
            <v>11000</v>
          </cell>
          <cell r="E1184">
            <v>2535.06</v>
          </cell>
        </row>
        <row r="1185">
          <cell r="A1185">
            <v>1847400560</v>
          </cell>
          <cell r="B1185" t="str">
            <v>מפת"ן-הוצ' משרדיות</v>
          </cell>
          <cell r="C1185">
            <v>5500</v>
          </cell>
          <cell r="D1185">
            <v>5500</v>
          </cell>
          <cell r="E1185">
            <v>709.32</v>
          </cell>
        </row>
        <row r="1186">
          <cell r="A1186">
            <v>1847400720</v>
          </cell>
          <cell r="B1186" t="str">
            <v>חמרים</v>
          </cell>
          <cell r="C1186">
            <v>10500</v>
          </cell>
          <cell r="D1186">
            <v>10500</v>
          </cell>
          <cell r="E1186">
            <v>4283</v>
          </cell>
        </row>
        <row r="1187">
          <cell r="A1187">
            <v>1847400780</v>
          </cell>
          <cell r="B1187" t="str">
            <v>הוצאות אחרות</v>
          </cell>
          <cell r="C1187">
            <v>0</v>
          </cell>
          <cell r="E1187">
            <v>0</v>
          </cell>
        </row>
        <row r="1188">
          <cell r="A1188">
            <v>1847400840</v>
          </cell>
          <cell r="B1188" t="str">
            <v>מפת'ן ממשלתי</v>
          </cell>
          <cell r="C1188">
            <v>0</v>
          </cell>
          <cell r="E1188">
            <v>481.26</v>
          </cell>
        </row>
        <row r="1189">
          <cell r="A1189">
            <v>1847400841</v>
          </cell>
          <cell r="B1189" t="str">
            <v>מפת'ן מקומי אחזקה</v>
          </cell>
          <cell r="C1189">
            <v>150000</v>
          </cell>
          <cell r="D1189">
            <v>150000</v>
          </cell>
          <cell r="E1189">
            <v>110021.07</v>
          </cell>
        </row>
        <row r="1190">
          <cell r="A1190">
            <v>1847400843</v>
          </cell>
          <cell r="B1190" t="str">
            <v>פעול משלימות למפתן</v>
          </cell>
          <cell r="C1190">
            <v>30000</v>
          </cell>
          <cell r="D1190">
            <v>30000</v>
          </cell>
          <cell r="E1190">
            <v>27000</v>
          </cell>
        </row>
        <row r="1191">
          <cell r="A1191">
            <v>1847400844</v>
          </cell>
          <cell r="B1191" t="str">
            <v>טיפ.בנפג.סמים-פרוי.</v>
          </cell>
          <cell r="C1191">
            <v>24000</v>
          </cell>
          <cell r="D1191">
            <v>24000</v>
          </cell>
          <cell r="E1191">
            <v>0</v>
          </cell>
        </row>
        <row r="1192">
          <cell r="A1192">
            <v>1847400845</v>
          </cell>
          <cell r="B1192" t="str">
            <v>ת.מניעת אלימות במפתן</v>
          </cell>
          <cell r="C1192">
            <v>38000</v>
          </cell>
          <cell r="D1192">
            <v>38000</v>
          </cell>
          <cell r="E1192">
            <v>28630</v>
          </cell>
        </row>
        <row r="1193">
          <cell r="A1193">
            <v>1847401110</v>
          </cell>
          <cell r="B1193" t="str">
            <v>משכ.מפתן מורים</v>
          </cell>
          <cell r="C1193">
            <v>191303</v>
          </cell>
          <cell r="D1193">
            <v>191303</v>
          </cell>
          <cell r="E1193">
            <v>156787.67000000001</v>
          </cell>
        </row>
        <row r="1194">
          <cell r="A1194">
            <v>1847402110</v>
          </cell>
          <cell r="B1194" t="str">
            <v>משכורת מפתן</v>
          </cell>
          <cell r="C1194">
            <v>129238</v>
          </cell>
          <cell r="D1194">
            <v>129238</v>
          </cell>
          <cell r="E1194">
            <v>79830.62</v>
          </cell>
        </row>
        <row r="1195">
          <cell r="A1195">
            <v>1847404110</v>
          </cell>
          <cell r="B1195" t="str">
            <v>משכ' מזכירים - מפתן</v>
          </cell>
          <cell r="C1195">
            <v>100100</v>
          </cell>
          <cell r="D1195">
            <v>100100</v>
          </cell>
          <cell r="E1195">
            <v>77903.179999999993</v>
          </cell>
        </row>
        <row r="1196">
          <cell r="A1196">
            <v>1847405110</v>
          </cell>
          <cell r="B1196" t="str">
            <v>משכ' שרתים - מפתן</v>
          </cell>
          <cell r="C1196">
            <v>104036</v>
          </cell>
          <cell r="D1196">
            <v>104036</v>
          </cell>
          <cell r="E1196">
            <v>83623.960000000006</v>
          </cell>
        </row>
        <row r="1197">
          <cell r="A1197">
            <v>1847411110</v>
          </cell>
          <cell r="B1197" t="str">
            <v>משכ' ע.נקיון - מפתן</v>
          </cell>
          <cell r="C1197">
            <v>70875</v>
          </cell>
          <cell r="D1197">
            <v>70875</v>
          </cell>
          <cell r="E1197">
            <v>68627.77</v>
          </cell>
        </row>
        <row r="1198">
          <cell r="A1198">
            <v>1847411750</v>
          </cell>
          <cell r="B1198" t="str">
            <v>נקיון מפתן</v>
          </cell>
          <cell r="C1198">
            <v>51000</v>
          </cell>
          <cell r="D1198">
            <v>51000</v>
          </cell>
          <cell r="E1198">
            <v>36106</v>
          </cell>
        </row>
        <row r="1199">
          <cell r="A1199">
            <v>1847428110</v>
          </cell>
          <cell r="B1199" t="str">
            <v>משכורת</v>
          </cell>
          <cell r="C1199">
            <v>446884</v>
          </cell>
          <cell r="D1199">
            <v>446884</v>
          </cell>
          <cell r="E1199">
            <v>323575.13</v>
          </cell>
        </row>
        <row r="1200">
          <cell r="A1200">
            <v>1848200210</v>
          </cell>
          <cell r="B1200" t="str">
            <v>שכר עובדי מ.נ.ע.</v>
          </cell>
          <cell r="C1200">
            <v>0</v>
          </cell>
          <cell r="E1200">
            <v>0</v>
          </cell>
        </row>
        <row r="1201">
          <cell r="A1201">
            <v>1848200840</v>
          </cell>
          <cell r="B1201" t="str">
            <v>מרכזים קהילתיים</v>
          </cell>
          <cell r="C1201">
            <v>0</v>
          </cell>
          <cell r="E1201">
            <v>0</v>
          </cell>
        </row>
        <row r="1202">
          <cell r="A1202">
            <v>1848200841</v>
          </cell>
          <cell r="B1202" t="str">
            <v>עבודה  קהילתית</v>
          </cell>
          <cell r="C1202">
            <v>146669</v>
          </cell>
          <cell r="D1202">
            <v>146669</v>
          </cell>
          <cell r="E1202">
            <v>98360</v>
          </cell>
        </row>
        <row r="1203">
          <cell r="A1203">
            <v>1848200842</v>
          </cell>
          <cell r="B1203" t="str">
            <v>עבודה קהילת-פר' אופק</v>
          </cell>
          <cell r="C1203">
            <v>0</v>
          </cell>
          <cell r="E1203">
            <v>0</v>
          </cell>
        </row>
        <row r="1204">
          <cell r="A1204">
            <v>1848200843</v>
          </cell>
          <cell r="B1204" t="str">
            <v>נפגעי תאונות דרכים</v>
          </cell>
          <cell r="C1204">
            <v>0</v>
          </cell>
          <cell r="E1204">
            <v>0</v>
          </cell>
        </row>
        <row r="1205">
          <cell r="A1205">
            <v>1848200844</v>
          </cell>
          <cell r="B1205" t="str">
            <v>צח"י-צפון ועוטף עז</v>
          </cell>
          <cell r="C1205">
            <v>0</v>
          </cell>
          <cell r="E1205">
            <v>0</v>
          </cell>
        </row>
        <row r="1206">
          <cell r="A1206">
            <v>1848200845</v>
          </cell>
          <cell r="B1206" t="str">
            <v>פיתוח גישה קהילתית</v>
          </cell>
          <cell r="C1206">
            <v>0</v>
          </cell>
          <cell r="E1206">
            <v>0</v>
          </cell>
        </row>
        <row r="1207">
          <cell r="A1207">
            <v>1848200846</v>
          </cell>
          <cell r="B1207" t="str">
            <v>פיתוח קהילתי אסטרטגי</v>
          </cell>
          <cell r="C1207">
            <v>0</v>
          </cell>
          <cell r="E1207">
            <v>0</v>
          </cell>
        </row>
        <row r="1208">
          <cell r="A1208">
            <v>1848200847</v>
          </cell>
          <cell r="B1208" t="str">
            <v>קהילות פונקציונליות</v>
          </cell>
          <cell r="C1208">
            <v>0</v>
          </cell>
          <cell r="E1208">
            <v>0</v>
          </cell>
        </row>
        <row r="1209">
          <cell r="A1209">
            <v>1848300580</v>
          </cell>
          <cell r="B1209" t="str">
            <v>הוצ' אחרות</v>
          </cell>
          <cell r="C1209">
            <v>6000</v>
          </cell>
          <cell r="D1209">
            <v>6000</v>
          </cell>
          <cell r="E1209">
            <v>0</v>
          </cell>
        </row>
        <row r="1210">
          <cell r="A1210">
            <v>1848300840</v>
          </cell>
          <cell r="B1210" t="str">
            <v>התנדבות פעולות</v>
          </cell>
          <cell r="C1210">
            <v>17333</v>
          </cell>
          <cell r="D1210">
            <v>17333</v>
          </cell>
          <cell r="E1210">
            <v>484.5</v>
          </cell>
        </row>
        <row r="1211">
          <cell r="A1211">
            <v>1848300841</v>
          </cell>
          <cell r="B1211" t="str">
            <v>תוכניות פתג''ם</v>
          </cell>
          <cell r="C1211">
            <v>0</v>
          </cell>
          <cell r="E1211">
            <v>0</v>
          </cell>
        </row>
        <row r="1212">
          <cell r="A1212">
            <v>1848400840</v>
          </cell>
          <cell r="B1212" t="str">
            <v>לשכות יעוץ לאזרח</v>
          </cell>
          <cell r="C1212">
            <v>2667</v>
          </cell>
          <cell r="D1212">
            <v>2667</v>
          </cell>
          <cell r="E1212">
            <v>0</v>
          </cell>
        </row>
        <row r="1213">
          <cell r="A1213">
            <v>1848500840</v>
          </cell>
          <cell r="B1213" t="str">
            <v>שיקום שכונות-פעולות</v>
          </cell>
          <cell r="C1213">
            <v>16000</v>
          </cell>
          <cell r="D1213">
            <v>16000</v>
          </cell>
          <cell r="E1213">
            <v>0</v>
          </cell>
        </row>
        <row r="1214">
          <cell r="A1214">
            <v>1848500842</v>
          </cell>
          <cell r="B1214" t="str">
            <v>שיקום שכונות פעולות</v>
          </cell>
          <cell r="C1214">
            <v>0</v>
          </cell>
          <cell r="E1214">
            <v>0</v>
          </cell>
        </row>
        <row r="1215">
          <cell r="A1215">
            <v>1848800110</v>
          </cell>
          <cell r="B1215" t="str">
            <v>משכורת ושכר משולבים</v>
          </cell>
          <cell r="C1215">
            <v>1305415</v>
          </cell>
          <cell r="D1215">
            <v>1305415</v>
          </cell>
          <cell r="E1215">
            <v>1038659.73</v>
          </cell>
        </row>
        <row r="1216">
          <cell r="A1216">
            <v>1848800780</v>
          </cell>
          <cell r="B1216" t="str">
            <v>שקום שכונות השכלה גבוה</v>
          </cell>
          <cell r="C1216">
            <v>30000</v>
          </cell>
          <cell r="D1216">
            <v>30000</v>
          </cell>
          <cell r="E1216">
            <v>30000</v>
          </cell>
        </row>
        <row r="1217">
          <cell r="A1217">
            <v>1848801210</v>
          </cell>
          <cell r="B1217" t="str">
            <v>שכר חוסן העמותה לילדים בסיכון</v>
          </cell>
          <cell r="C1217">
            <v>30244</v>
          </cell>
          <cell r="D1217">
            <v>30244</v>
          </cell>
          <cell r="E1217">
            <v>23208.27</v>
          </cell>
        </row>
        <row r="1218">
          <cell r="A1218">
            <v>1848801750</v>
          </cell>
          <cell r="B1218" t="str">
            <v>פעולות חוסן העמותה לילדים בסיכון</v>
          </cell>
          <cell r="C1218">
            <v>154853</v>
          </cell>
          <cell r="D1218">
            <v>154853</v>
          </cell>
          <cell r="E1218">
            <v>14402</v>
          </cell>
        </row>
        <row r="1219">
          <cell r="A1219">
            <v>1849000840</v>
          </cell>
          <cell r="B1219" t="str">
            <v>מ.יום טפולי עולים</v>
          </cell>
          <cell r="C1219">
            <v>17680</v>
          </cell>
          <cell r="D1219">
            <v>17680</v>
          </cell>
          <cell r="E1219">
            <v>0</v>
          </cell>
        </row>
        <row r="1220">
          <cell r="A1220">
            <v>1849000841</v>
          </cell>
          <cell r="B1220" t="str">
            <v>מעונות יום עולים</v>
          </cell>
          <cell r="C1220">
            <v>62262</v>
          </cell>
          <cell r="D1220">
            <v>62262</v>
          </cell>
          <cell r="E1220">
            <v>0</v>
          </cell>
        </row>
        <row r="1221">
          <cell r="A1221">
            <v>1849000842</v>
          </cell>
          <cell r="B1221" t="str">
            <v>מעש"ים עולים</v>
          </cell>
          <cell r="C1221">
            <v>50825</v>
          </cell>
          <cell r="D1221">
            <v>50825</v>
          </cell>
          <cell r="E1221">
            <v>39003</v>
          </cell>
        </row>
        <row r="1222">
          <cell r="A1222">
            <v>1849000843</v>
          </cell>
          <cell r="B1222" t="str">
            <v>מפגר בפנימיה עולים</v>
          </cell>
          <cell r="C1222">
            <v>135300</v>
          </cell>
          <cell r="D1222">
            <v>135300</v>
          </cell>
          <cell r="E1222">
            <v>100654</v>
          </cell>
        </row>
        <row r="1223">
          <cell r="A1223">
            <v>1849000844</v>
          </cell>
          <cell r="B1223" t="str">
            <v>ילדים בפנימיות-עולים</v>
          </cell>
          <cell r="C1223">
            <v>397900</v>
          </cell>
          <cell r="D1223">
            <v>397900</v>
          </cell>
          <cell r="E1223">
            <v>259325</v>
          </cell>
        </row>
        <row r="1224">
          <cell r="A1224">
            <v>1849000845</v>
          </cell>
          <cell r="B1224" t="str">
            <v>טיפול בזקנים עולים</v>
          </cell>
          <cell r="C1224">
            <v>48933</v>
          </cell>
          <cell r="D1224">
            <v>48933</v>
          </cell>
          <cell r="E1224">
            <v>28668</v>
          </cell>
        </row>
        <row r="1225">
          <cell r="A1225">
            <v>1849000846</v>
          </cell>
          <cell r="B1225" t="str">
            <v>תוכ. קבוצ. וקהילה עולים</v>
          </cell>
          <cell r="C1225">
            <v>0</v>
          </cell>
          <cell r="E1225">
            <v>0</v>
          </cell>
        </row>
        <row r="1226">
          <cell r="A1226">
            <v>1849000847</v>
          </cell>
          <cell r="B1226" t="str">
            <v>טפול בצעירים-עולים</v>
          </cell>
          <cell r="C1226">
            <v>0</v>
          </cell>
          <cell r="E1226">
            <v>0</v>
          </cell>
        </row>
        <row r="1227">
          <cell r="A1227">
            <v>1849000848</v>
          </cell>
          <cell r="B1227" t="str">
            <v>עובדי שכונה עולים</v>
          </cell>
          <cell r="C1227">
            <v>0</v>
          </cell>
          <cell r="E1227">
            <v>0</v>
          </cell>
        </row>
        <row r="1228">
          <cell r="A1228">
            <v>1849000849</v>
          </cell>
          <cell r="B1228" t="str">
            <v>נכים בקהילה-עולים</v>
          </cell>
          <cell r="C1228">
            <v>0</v>
          </cell>
          <cell r="E1228">
            <v>0</v>
          </cell>
        </row>
        <row r="1229">
          <cell r="A1229">
            <v>1849000850</v>
          </cell>
          <cell r="B1229" t="str">
            <v>נכים בפנימיות-עולים</v>
          </cell>
          <cell r="C1229">
            <v>0</v>
          </cell>
          <cell r="E1229">
            <v>0</v>
          </cell>
        </row>
        <row r="1230">
          <cell r="A1230">
            <v>1849001840</v>
          </cell>
          <cell r="B1230" t="str">
            <v>דמי תקשורת לחירשים</v>
          </cell>
          <cell r="C1230">
            <v>0</v>
          </cell>
          <cell r="E1230">
            <v>0</v>
          </cell>
        </row>
        <row r="1231">
          <cell r="A1231">
            <v>1849001841</v>
          </cell>
          <cell r="B1231" t="str">
            <v>פיתוח קהיל.בין תרבו</v>
          </cell>
          <cell r="C1231">
            <v>0</v>
          </cell>
          <cell r="E1231">
            <v>0</v>
          </cell>
        </row>
        <row r="1232">
          <cell r="A1232">
            <v>1849001843</v>
          </cell>
          <cell r="B1232" t="str">
            <v>אבח.ושקום נכים עולים</v>
          </cell>
          <cell r="C1232">
            <v>0</v>
          </cell>
          <cell r="E1232">
            <v>0</v>
          </cell>
        </row>
        <row r="1233">
          <cell r="A1233">
            <v>1849001844</v>
          </cell>
          <cell r="B1233" t="str">
            <v>תוכנית קבוצתית לעולים</v>
          </cell>
          <cell r="C1233">
            <v>180000</v>
          </cell>
          <cell r="D1233">
            <v>180000</v>
          </cell>
          <cell r="E1233">
            <v>180000</v>
          </cell>
        </row>
        <row r="1234">
          <cell r="A1234">
            <v>1849001847</v>
          </cell>
          <cell r="B1234" t="str">
            <v>ילדים במצוקה עולים</v>
          </cell>
          <cell r="C1234">
            <v>36000</v>
          </cell>
          <cell r="D1234">
            <v>36000</v>
          </cell>
          <cell r="E1234">
            <v>20084</v>
          </cell>
        </row>
        <row r="1235">
          <cell r="A1235">
            <v>1849001849</v>
          </cell>
          <cell r="B1235" t="str">
            <v>משפחות עולים במצוקה</v>
          </cell>
          <cell r="C1235">
            <v>26133</v>
          </cell>
          <cell r="D1235">
            <v>26133</v>
          </cell>
          <cell r="E1235">
            <v>20939</v>
          </cell>
        </row>
        <row r="1236">
          <cell r="A1236">
            <v>1849002840</v>
          </cell>
          <cell r="B1236" t="str">
            <v>מפגרים בקהילה-עולים</v>
          </cell>
          <cell r="C1236">
            <v>0</v>
          </cell>
          <cell r="E1236">
            <v>0</v>
          </cell>
        </row>
        <row r="1237">
          <cell r="A1237">
            <v>1849002849</v>
          </cell>
          <cell r="B1237" t="str">
            <v>טיפול בעוורים עולים</v>
          </cell>
          <cell r="C1237">
            <v>10000</v>
          </cell>
          <cell r="D1237">
            <v>10000</v>
          </cell>
          <cell r="E1237">
            <v>2570</v>
          </cell>
        </row>
        <row r="1238">
          <cell r="A1238">
            <v>1849300840</v>
          </cell>
          <cell r="B1238" t="str">
            <v>פרוייקט לנגמלים</v>
          </cell>
          <cell r="C1238">
            <v>0</v>
          </cell>
          <cell r="E1238">
            <v>0</v>
          </cell>
        </row>
        <row r="1239">
          <cell r="A1239">
            <v>1851000810</v>
          </cell>
          <cell r="B1239" t="str">
            <v>השתתפויות ותרומות</v>
          </cell>
          <cell r="C1239">
            <v>1605000</v>
          </cell>
          <cell r="D1239">
            <v>1605000</v>
          </cell>
          <cell r="E1239">
            <v>1651076</v>
          </cell>
        </row>
        <row r="1240">
          <cell r="A1240">
            <v>1860000399</v>
          </cell>
          <cell r="B1240" t="str">
            <v>הפרשה לדמי הבראה ומענק</v>
          </cell>
          <cell r="C1240">
            <v>0</v>
          </cell>
          <cell r="E1240">
            <v>0</v>
          </cell>
        </row>
        <row r="1241">
          <cell r="A1241">
            <v>1860000410</v>
          </cell>
          <cell r="B1241" t="str">
            <v>שכירות</v>
          </cell>
          <cell r="C1241">
            <v>60000</v>
          </cell>
          <cell r="D1241">
            <v>60000</v>
          </cell>
          <cell r="E1241">
            <v>49896.5</v>
          </cell>
        </row>
        <row r="1242">
          <cell r="A1242">
            <v>1860000470</v>
          </cell>
          <cell r="B1242" t="str">
            <v>מכשירי כתיבה והדפסה</v>
          </cell>
          <cell r="C1242">
            <v>2000</v>
          </cell>
          <cell r="D1242">
            <v>2000</v>
          </cell>
          <cell r="E1242">
            <v>2000</v>
          </cell>
        </row>
        <row r="1243">
          <cell r="A1243">
            <v>1860000520</v>
          </cell>
          <cell r="B1243" t="str">
            <v>ספרים ועתונים</v>
          </cell>
          <cell r="C1243">
            <v>2000</v>
          </cell>
          <cell r="D1243">
            <v>2000</v>
          </cell>
          <cell r="E1243">
            <v>0</v>
          </cell>
        </row>
        <row r="1244">
          <cell r="A1244">
            <v>1860000522</v>
          </cell>
          <cell r="B1244" t="str">
            <v>קליטה-ספרות מקצועית</v>
          </cell>
          <cell r="C1244">
            <v>1500</v>
          </cell>
          <cell r="D1244">
            <v>1500</v>
          </cell>
          <cell r="E1244">
            <v>0</v>
          </cell>
        </row>
        <row r="1245">
          <cell r="A1245">
            <v>1860000540</v>
          </cell>
          <cell r="B1245" t="str">
            <v>הוצאות תקשורת</v>
          </cell>
          <cell r="C1245">
            <v>0</v>
          </cell>
          <cell r="E1245">
            <v>0</v>
          </cell>
        </row>
        <row r="1246">
          <cell r="A1246">
            <v>1860000780</v>
          </cell>
          <cell r="B1246" t="str">
            <v>הוצאות אחרות</v>
          </cell>
          <cell r="C1246">
            <v>231670</v>
          </cell>
          <cell r="D1246">
            <v>231670</v>
          </cell>
          <cell r="E1246">
            <v>141419.53</v>
          </cell>
        </row>
        <row r="1247">
          <cell r="A1247">
            <v>1860000910</v>
          </cell>
          <cell r="B1247" t="str">
            <v>העברה לתב"ר</v>
          </cell>
          <cell r="C1247">
            <v>25858</v>
          </cell>
          <cell r="D1247">
            <v>25858</v>
          </cell>
          <cell r="E1247">
            <v>25858</v>
          </cell>
        </row>
        <row r="1248">
          <cell r="A1248">
            <v>1869000110</v>
          </cell>
          <cell r="B1248" t="str">
            <v>עליה וקליטה</v>
          </cell>
          <cell r="C1248">
            <v>350415</v>
          </cell>
          <cell r="D1248">
            <v>295472</v>
          </cell>
          <cell r="E1248">
            <v>257514.37</v>
          </cell>
        </row>
        <row r="1249">
          <cell r="A1249">
            <v>1869000980</v>
          </cell>
          <cell r="B1249" t="str">
            <v>פעילות לעליית עולים</v>
          </cell>
          <cell r="C1249">
            <v>72000</v>
          </cell>
          <cell r="D1249">
            <v>72000</v>
          </cell>
          <cell r="E1249">
            <v>34141.22</v>
          </cell>
        </row>
        <row r="1250">
          <cell r="A1250">
            <v>1879000810</v>
          </cell>
          <cell r="B1250" t="str">
            <v>א.ערים-איכות הסביבה</v>
          </cell>
          <cell r="C1250">
            <v>140019</v>
          </cell>
          <cell r="D1250">
            <v>140019</v>
          </cell>
          <cell r="E1250">
            <v>140019</v>
          </cell>
        </row>
        <row r="1251">
          <cell r="A1251">
            <v>1910000399</v>
          </cell>
          <cell r="B1251" t="str">
            <v>הפרשה מענק חד פעמי</v>
          </cell>
          <cell r="C1251">
            <v>0</v>
          </cell>
          <cell r="E1251">
            <v>0</v>
          </cell>
        </row>
        <row r="1252">
          <cell r="A1252">
            <v>1913000110</v>
          </cell>
          <cell r="B1252" t="str">
            <v>משכורת ושכר משולבים</v>
          </cell>
          <cell r="C1252">
            <v>0</v>
          </cell>
          <cell r="E1252">
            <v>0</v>
          </cell>
        </row>
        <row r="1253">
          <cell r="A1253">
            <v>1913000470</v>
          </cell>
          <cell r="B1253" t="str">
            <v>מכשירי כתיבה והדפסה</v>
          </cell>
          <cell r="C1253">
            <v>0</v>
          </cell>
          <cell r="E1253">
            <v>0</v>
          </cell>
        </row>
        <row r="1254">
          <cell r="A1254">
            <v>1913000520</v>
          </cell>
          <cell r="B1254" t="str">
            <v>ספרים ועתונים</v>
          </cell>
          <cell r="C1254">
            <v>0</v>
          </cell>
          <cell r="E1254">
            <v>0</v>
          </cell>
        </row>
        <row r="1255">
          <cell r="A1255">
            <v>1913000580</v>
          </cell>
          <cell r="B1255" t="str">
            <v>מ.ב.ת-הוצ' אחרות</v>
          </cell>
          <cell r="C1255">
            <v>0</v>
          </cell>
          <cell r="E1255">
            <v>0</v>
          </cell>
        </row>
        <row r="1256">
          <cell r="A1256">
            <v>1913000720</v>
          </cell>
          <cell r="B1256" t="str">
            <v>חמרים</v>
          </cell>
          <cell r="C1256">
            <v>0</v>
          </cell>
          <cell r="E1256">
            <v>0</v>
          </cell>
        </row>
        <row r="1257">
          <cell r="A1257">
            <v>1913000740</v>
          </cell>
          <cell r="B1257" t="str">
            <v>כלים מכשירים וציוד</v>
          </cell>
          <cell r="C1257">
            <v>0</v>
          </cell>
          <cell r="E1257">
            <v>0</v>
          </cell>
        </row>
        <row r="1258">
          <cell r="A1258">
            <v>1913000743</v>
          </cell>
          <cell r="B1258" t="str">
            <v>רכישת כלים ומכשירים וצ</v>
          </cell>
          <cell r="C1258">
            <v>0</v>
          </cell>
          <cell r="E1258">
            <v>0</v>
          </cell>
        </row>
        <row r="1259">
          <cell r="A1259">
            <v>1913000750</v>
          </cell>
          <cell r="B1259" t="str">
            <v>עבודות קבלניות</v>
          </cell>
          <cell r="C1259">
            <v>280778</v>
          </cell>
          <cell r="D1259">
            <v>280778</v>
          </cell>
          <cell r="E1259">
            <v>177328.36</v>
          </cell>
        </row>
        <row r="1260">
          <cell r="A1260">
            <v>1913000770</v>
          </cell>
          <cell r="B1260" t="str">
            <v>דלק וחשמל לפעולות</v>
          </cell>
          <cell r="C1260">
            <v>0</v>
          </cell>
          <cell r="E1260">
            <v>0</v>
          </cell>
        </row>
        <row r="1261">
          <cell r="A1261">
            <v>1913000930</v>
          </cell>
          <cell r="B1261" t="str">
            <v>רכישת ציוד יסודי</v>
          </cell>
          <cell r="C1261">
            <v>0</v>
          </cell>
          <cell r="E1261">
            <v>0</v>
          </cell>
        </row>
        <row r="1262">
          <cell r="A1262">
            <v>1913100720</v>
          </cell>
          <cell r="B1262" t="str">
            <v>רכישת מים</v>
          </cell>
          <cell r="C1262">
            <v>0</v>
          </cell>
          <cell r="E1262">
            <v>0</v>
          </cell>
        </row>
        <row r="1263">
          <cell r="A1263">
            <v>1913100721</v>
          </cell>
          <cell r="B1263" t="str">
            <v>היטל צריכת מים עודפת</v>
          </cell>
          <cell r="C1263">
            <v>0</v>
          </cell>
          <cell r="E1263">
            <v>0</v>
          </cell>
        </row>
        <row r="1264">
          <cell r="A1264">
            <v>1930000399</v>
          </cell>
          <cell r="B1264" t="str">
            <v>הפרשה לדמי הבראה ומענק</v>
          </cell>
          <cell r="C1264">
            <v>0</v>
          </cell>
          <cell r="E1264">
            <v>0</v>
          </cell>
        </row>
        <row r="1265">
          <cell r="A1265">
            <v>1931000110</v>
          </cell>
          <cell r="B1265" t="str">
            <v>משכורת ושכר משולבים</v>
          </cell>
          <cell r="C1265">
            <v>212093</v>
          </cell>
          <cell r="D1265">
            <v>207134</v>
          </cell>
          <cell r="E1265">
            <v>149531.48000000001</v>
          </cell>
        </row>
        <row r="1266">
          <cell r="A1266">
            <v>1931000450</v>
          </cell>
          <cell r="B1266" t="str">
            <v>ריהוט ואחזקה</v>
          </cell>
          <cell r="C1266">
            <v>15000</v>
          </cell>
          <cell r="D1266">
            <v>15000</v>
          </cell>
          <cell r="E1266">
            <v>1170</v>
          </cell>
        </row>
        <row r="1267">
          <cell r="A1267">
            <v>1931000511</v>
          </cell>
          <cell r="B1267" t="str">
            <v>כיבוד ואירוח</v>
          </cell>
          <cell r="C1267">
            <v>2000</v>
          </cell>
          <cell r="D1267">
            <v>2000</v>
          </cell>
          <cell r="E1267">
            <v>0</v>
          </cell>
        </row>
        <row r="1268">
          <cell r="A1268">
            <v>1931000560</v>
          </cell>
          <cell r="B1268" t="str">
            <v>נכסים-הוצ' משרדיות</v>
          </cell>
          <cell r="C1268">
            <v>5000</v>
          </cell>
          <cell r="D1268">
            <v>12000</v>
          </cell>
          <cell r="E1268">
            <v>2184.1</v>
          </cell>
        </row>
        <row r="1269">
          <cell r="A1269">
            <v>1931000731</v>
          </cell>
          <cell r="B1269" t="str">
            <v>הוצ' קטנוע 1081865</v>
          </cell>
          <cell r="C1269">
            <v>7500</v>
          </cell>
          <cell r="D1269">
            <v>7500</v>
          </cell>
          <cell r="E1269">
            <v>3917.7</v>
          </cell>
        </row>
        <row r="1270">
          <cell r="A1270">
            <v>1931000750</v>
          </cell>
          <cell r="B1270" t="str">
            <v>עבודות קבלניות</v>
          </cell>
          <cell r="C1270">
            <v>370000</v>
          </cell>
          <cell r="D1270">
            <v>370000</v>
          </cell>
          <cell r="E1270">
            <v>130432.8</v>
          </cell>
        </row>
        <row r="1271">
          <cell r="A1271">
            <v>1931000910</v>
          </cell>
          <cell r="B1271" t="str">
            <v>העברה לתקציב בלתי רגיל</v>
          </cell>
          <cell r="C1271">
            <v>0</v>
          </cell>
          <cell r="E1271">
            <v>0</v>
          </cell>
        </row>
        <row r="1272">
          <cell r="A1272">
            <v>1931000980</v>
          </cell>
          <cell r="B1272" t="str">
            <v>הוצאות אחרות</v>
          </cell>
          <cell r="C1272">
            <v>50000</v>
          </cell>
          <cell r="D1272">
            <v>50000</v>
          </cell>
          <cell r="E1272">
            <v>58120.47</v>
          </cell>
        </row>
        <row r="1273">
          <cell r="A1273">
            <v>1937000110</v>
          </cell>
          <cell r="B1273" t="str">
            <v>משכורת ושכר משולבים</v>
          </cell>
          <cell r="C1273">
            <v>148157</v>
          </cell>
          <cell r="D1273">
            <v>140579</v>
          </cell>
          <cell r="E1273">
            <v>107933.03</v>
          </cell>
        </row>
        <row r="1274">
          <cell r="A1274">
            <v>1937000750</v>
          </cell>
          <cell r="B1274" t="str">
            <v>עבודות קבלניות שוק</v>
          </cell>
          <cell r="C1274">
            <v>264000</v>
          </cell>
          <cell r="D1274">
            <v>350000</v>
          </cell>
          <cell r="E1274">
            <v>177453</v>
          </cell>
        </row>
        <row r="1275">
          <cell r="A1275">
            <v>1937000780</v>
          </cell>
          <cell r="B1275" t="str">
            <v>הוצאות אחרות</v>
          </cell>
          <cell r="C1275">
            <v>45000</v>
          </cell>
          <cell r="D1275">
            <v>45000</v>
          </cell>
          <cell r="E1275">
            <v>71967.259999999995</v>
          </cell>
        </row>
        <row r="1276">
          <cell r="A1276">
            <v>1938000110</v>
          </cell>
          <cell r="B1276" t="str">
            <v>משכורת ושכר משולבים</v>
          </cell>
          <cell r="C1276">
            <v>704701</v>
          </cell>
          <cell r="D1276">
            <v>676178</v>
          </cell>
          <cell r="E1276">
            <v>545835.93999999994</v>
          </cell>
        </row>
        <row r="1277">
          <cell r="A1277">
            <v>1938000210</v>
          </cell>
          <cell r="B1277" t="str">
            <v>שכר עבודה_בית העירייה</v>
          </cell>
          <cell r="C1277">
            <v>0</v>
          </cell>
          <cell r="E1277">
            <v>0</v>
          </cell>
        </row>
        <row r="1278">
          <cell r="A1278">
            <v>1938000422</v>
          </cell>
          <cell r="B1278" t="str">
            <v>בית עיריה- חומרים</v>
          </cell>
          <cell r="C1278">
            <v>10000</v>
          </cell>
          <cell r="D1278">
            <v>8000</v>
          </cell>
          <cell r="E1278">
            <v>6037.4</v>
          </cell>
        </row>
        <row r="1279">
          <cell r="A1279">
            <v>1938000430</v>
          </cell>
          <cell r="B1279" t="str">
            <v>מאור כח חימום מים</v>
          </cell>
          <cell r="C1279">
            <v>700000</v>
          </cell>
          <cell r="D1279">
            <v>700000</v>
          </cell>
          <cell r="E1279">
            <v>556138</v>
          </cell>
        </row>
        <row r="1280">
          <cell r="A1280">
            <v>1938000440</v>
          </cell>
          <cell r="B1280" t="str">
            <v>קניין ביטוח</v>
          </cell>
          <cell r="C1280">
            <v>0</v>
          </cell>
          <cell r="E1280">
            <v>0</v>
          </cell>
        </row>
        <row r="1281">
          <cell r="A1281">
            <v>1938000450</v>
          </cell>
          <cell r="B1281" t="str">
            <v>ציוד וריהוט</v>
          </cell>
          <cell r="C1281">
            <v>14000</v>
          </cell>
          <cell r="D1281">
            <v>12000</v>
          </cell>
          <cell r="E1281">
            <v>11138</v>
          </cell>
        </row>
        <row r="1282">
          <cell r="A1282">
            <v>1938000511</v>
          </cell>
          <cell r="B1282" t="str">
            <v>כבודים-בית העיריה</v>
          </cell>
          <cell r="C1282">
            <v>100000</v>
          </cell>
          <cell r="D1282">
            <v>90000</v>
          </cell>
          <cell r="E1282">
            <v>80785.88</v>
          </cell>
        </row>
        <row r="1283">
          <cell r="A1283">
            <v>1938000512</v>
          </cell>
          <cell r="B1283" t="str">
            <v>נסיעות ואש"ל</v>
          </cell>
          <cell r="C1283">
            <v>250</v>
          </cell>
          <cell r="D1283">
            <v>250</v>
          </cell>
          <cell r="E1283">
            <v>0</v>
          </cell>
        </row>
        <row r="1284">
          <cell r="A1284">
            <v>1938000540</v>
          </cell>
          <cell r="B1284" t="str">
            <v>בולים טלפון ומברקים</v>
          </cell>
          <cell r="C1284">
            <v>840000</v>
          </cell>
          <cell r="D1284">
            <v>840000</v>
          </cell>
          <cell r="E1284">
            <v>527735.57999999996</v>
          </cell>
        </row>
        <row r="1285">
          <cell r="A1285">
            <v>1938000560</v>
          </cell>
          <cell r="B1285" t="str">
            <v>ציוד משרדי</v>
          </cell>
          <cell r="C1285">
            <v>2000</v>
          </cell>
          <cell r="D1285">
            <v>1000</v>
          </cell>
          <cell r="E1285">
            <v>242.64</v>
          </cell>
        </row>
        <row r="1286">
          <cell r="A1286">
            <v>1938000570</v>
          </cell>
          <cell r="B1286" t="str">
            <v>בית העיריה-מיכון</v>
          </cell>
          <cell r="C1286">
            <v>123456</v>
          </cell>
          <cell r="D1286">
            <v>186284</v>
          </cell>
          <cell r="E1286">
            <v>88180.76</v>
          </cell>
        </row>
        <row r="1287">
          <cell r="A1287">
            <v>1938000571</v>
          </cell>
          <cell r="B1287" t="str">
            <v>הוצאות מיכון שונות</v>
          </cell>
          <cell r="C1287">
            <v>76500</v>
          </cell>
          <cell r="D1287">
            <v>80400</v>
          </cell>
          <cell r="E1287">
            <v>49553.32</v>
          </cell>
        </row>
        <row r="1288">
          <cell r="A1288">
            <v>1938000580</v>
          </cell>
          <cell r="B1288" t="str">
            <v>בית העיריה-שונות</v>
          </cell>
          <cell r="C1288">
            <v>0</v>
          </cell>
          <cell r="E1288">
            <v>0</v>
          </cell>
        </row>
        <row r="1289">
          <cell r="A1289">
            <v>1938000731</v>
          </cell>
          <cell r="B1289" t="str">
            <v>הוצ' קטנוע 6177368</v>
          </cell>
          <cell r="C1289">
            <v>12000</v>
          </cell>
          <cell r="D1289">
            <v>12000</v>
          </cell>
          <cell r="E1289">
            <v>5044.03</v>
          </cell>
        </row>
        <row r="1290">
          <cell r="A1290">
            <v>1938000740</v>
          </cell>
          <cell r="B1290" t="str">
            <v>כלים מכשירים וציוד</v>
          </cell>
          <cell r="C1290">
            <v>2500</v>
          </cell>
          <cell r="D1290">
            <v>1500</v>
          </cell>
          <cell r="E1290">
            <v>750</v>
          </cell>
        </row>
        <row r="1291">
          <cell r="A1291">
            <v>1938000750</v>
          </cell>
          <cell r="B1291" t="str">
            <v>עבודות קבלניות-נקיון</v>
          </cell>
          <cell r="C1291">
            <v>315000</v>
          </cell>
          <cell r="D1291">
            <v>310000</v>
          </cell>
          <cell r="E1291">
            <v>226291</v>
          </cell>
        </row>
        <row r="1292">
          <cell r="A1292">
            <v>1938000751</v>
          </cell>
          <cell r="B1292" t="str">
            <v>עבודות קבלניות</v>
          </cell>
          <cell r="C1292">
            <v>13000</v>
          </cell>
          <cell r="D1292">
            <v>12000</v>
          </cell>
          <cell r="E1292">
            <v>11621.57</v>
          </cell>
        </row>
        <row r="1293">
          <cell r="A1293">
            <v>1938000760</v>
          </cell>
          <cell r="B1293" t="str">
            <v>קניית שירותים ממוסדות-</v>
          </cell>
          <cell r="C1293">
            <v>18350</v>
          </cell>
          <cell r="D1293">
            <v>18350</v>
          </cell>
          <cell r="E1293">
            <v>13712.86</v>
          </cell>
        </row>
        <row r="1294">
          <cell r="A1294">
            <v>1938000780</v>
          </cell>
          <cell r="B1294" t="str">
            <v>הוצאות אחרות</v>
          </cell>
          <cell r="C1294">
            <v>50000</v>
          </cell>
          <cell r="D1294">
            <v>40000</v>
          </cell>
          <cell r="E1294">
            <v>48977.38</v>
          </cell>
        </row>
        <row r="1295">
          <cell r="A1295">
            <v>1938000910</v>
          </cell>
          <cell r="B1295" t="str">
            <v>הע. לתקציב בלתי רגיל</v>
          </cell>
          <cell r="C1295">
            <v>60000</v>
          </cell>
          <cell r="D1295">
            <v>60000</v>
          </cell>
          <cell r="E1295">
            <v>60000</v>
          </cell>
        </row>
        <row r="1296">
          <cell r="A1296">
            <v>1938000980</v>
          </cell>
          <cell r="B1296" t="str">
            <v>הוצאות אחרות</v>
          </cell>
          <cell r="C1296">
            <v>45000</v>
          </cell>
          <cell r="D1296">
            <v>40000</v>
          </cell>
          <cell r="E1296">
            <v>41894.800000000003</v>
          </cell>
        </row>
        <row r="1297">
          <cell r="A1297">
            <v>1938001110</v>
          </cell>
          <cell r="B1297" t="str">
            <v>מתאם סמים</v>
          </cell>
          <cell r="C1297">
            <v>0</v>
          </cell>
          <cell r="E1297">
            <v>0</v>
          </cell>
        </row>
        <row r="1298">
          <cell r="A1298">
            <v>1938100110</v>
          </cell>
          <cell r="B1298" t="str">
            <v>משכורת ושכר משולבים</v>
          </cell>
          <cell r="C1298">
            <v>676876</v>
          </cell>
          <cell r="D1298">
            <v>568731</v>
          </cell>
          <cell r="E1298">
            <v>473972.75</v>
          </cell>
        </row>
        <row r="1299">
          <cell r="A1299">
            <v>1938100560</v>
          </cell>
          <cell r="B1299" t="str">
            <v>מכשירי כתיבה והדפס</v>
          </cell>
          <cell r="C1299">
            <v>1000</v>
          </cell>
          <cell r="D1299">
            <v>1000</v>
          </cell>
          <cell r="E1299">
            <v>0</v>
          </cell>
        </row>
        <row r="1300">
          <cell r="A1300">
            <v>1938100570</v>
          </cell>
          <cell r="B1300" t="str">
            <v>מתאם מיכון- אוטומציה-</v>
          </cell>
          <cell r="C1300">
            <v>0</v>
          </cell>
          <cell r="E1300">
            <v>0</v>
          </cell>
        </row>
        <row r="1301">
          <cell r="A1301">
            <v>1938100780</v>
          </cell>
          <cell r="B1301" t="str">
            <v>הוצאות אחרות</v>
          </cell>
          <cell r="C1301">
            <v>2450</v>
          </cell>
          <cell r="D1301">
            <v>3000</v>
          </cell>
          <cell r="E1301">
            <v>1429.41</v>
          </cell>
        </row>
        <row r="1302">
          <cell r="A1302">
            <v>1939000110</v>
          </cell>
          <cell r="B1302" t="str">
            <v>משכורת ושכר משולבים</v>
          </cell>
          <cell r="C1302">
            <v>2344661</v>
          </cell>
          <cell r="D1302">
            <v>2201960</v>
          </cell>
          <cell r="E1302">
            <v>1630608.16</v>
          </cell>
        </row>
        <row r="1303">
          <cell r="A1303">
            <v>1939000410</v>
          </cell>
          <cell r="B1303" t="str">
            <v>שכר דירה דמי חכירה</v>
          </cell>
          <cell r="C1303">
            <v>196458</v>
          </cell>
          <cell r="D1303">
            <v>200000</v>
          </cell>
          <cell r="E1303">
            <v>69207.240000000005</v>
          </cell>
        </row>
        <row r="1304">
          <cell r="A1304">
            <v>1939000511</v>
          </cell>
          <cell r="B1304" t="str">
            <v>רכב-כיבודים</v>
          </cell>
          <cell r="C1304">
            <v>0</v>
          </cell>
          <cell r="E1304">
            <v>0</v>
          </cell>
        </row>
        <row r="1305">
          <cell r="A1305">
            <v>1939000512</v>
          </cell>
          <cell r="B1305" t="str">
            <v>נסיעות ואש"ל</v>
          </cell>
          <cell r="C1305">
            <v>0</v>
          </cell>
          <cell r="E1305">
            <v>0</v>
          </cell>
        </row>
        <row r="1306">
          <cell r="A1306">
            <v>1939000560</v>
          </cell>
          <cell r="B1306" t="str">
            <v>מכשירי כתיבה והדפס</v>
          </cell>
          <cell r="C1306">
            <v>400</v>
          </cell>
          <cell r="D1306">
            <v>700</v>
          </cell>
          <cell r="E1306">
            <v>156.41999999999999</v>
          </cell>
        </row>
        <row r="1307">
          <cell r="A1307">
            <v>1939000730</v>
          </cell>
          <cell r="B1307" t="str">
            <v>אחזקה וביטוח- רכבים</v>
          </cell>
          <cell r="C1307">
            <v>64300</v>
          </cell>
          <cell r="D1307">
            <v>64300</v>
          </cell>
          <cell r="E1307">
            <v>84103.09</v>
          </cell>
        </row>
        <row r="1308">
          <cell r="A1308">
            <v>1939000731</v>
          </cell>
          <cell r="B1308" t="str">
            <v>כללי-דלק ושמנים 49-531</v>
          </cell>
          <cell r="C1308">
            <v>140000</v>
          </cell>
          <cell r="D1308">
            <v>140000</v>
          </cell>
          <cell r="E1308">
            <v>125664.22</v>
          </cell>
        </row>
        <row r="1309">
          <cell r="A1309">
            <v>1939000780</v>
          </cell>
          <cell r="B1309" t="str">
            <v>הוצאות אחרות</v>
          </cell>
          <cell r="C1309">
            <v>1000</v>
          </cell>
          <cell r="D1309">
            <v>1700</v>
          </cell>
          <cell r="E1309">
            <v>512.83000000000004</v>
          </cell>
        </row>
        <row r="1310">
          <cell r="A1310">
            <v>1939000980</v>
          </cell>
          <cell r="B1310" t="str">
            <v>הוצאות אחרות</v>
          </cell>
          <cell r="C1310">
            <v>7500</v>
          </cell>
          <cell r="D1310">
            <v>8000</v>
          </cell>
          <cell r="E1310">
            <v>3750</v>
          </cell>
        </row>
        <row r="1311">
          <cell r="A1311">
            <v>1939001410</v>
          </cell>
          <cell r="B1311" t="str">
            <v>שכ"ד לא מוגן</v>
          </cell>
          <cell r="C1311">
            <v>0</v>
          </cell>
          <cell r="E1311">
            <v>0</v>
          </cell>
        </row>
        <row r="1312">
          <cell r="A1312">
            <v>1939001731</v>
          </cell>
          <cell r="B1312" t="str">
            <v>כללי-דלק ושמנים</v>
          </cell>
          <cell r="C1312">
            <v>0</v>
          </cell>
          <cell r="E1312">
            <v>0</v>
          </cell>
        </row>
        <row r="1313">
          <cell r="A1313">
            <v>1939003731</v>
          </cell>
          <cell r="B1313" t="str">
            <v>כללי- 79-264-82</v>
          </cell>
          <cell r="C1313">
            <v>7500</v>
          </cell>
          <cell r="D1313">
            <v>7500</v>
          </cell>
          <cell r="E1313">
            <v>2770.7</v>
          </cell>
        </row>
        <row r="1314">
          <cell r="A1314">
            <v>1939004731</v>
          </cell>
          <cell r="B1314" t="str">
            <v>כללי- 16-333-54</v>
          </cell>
          <cell r="C1314">
            <v>60000</v>
          </cell>
          <cell r="D1314">
            <v>60000</v>
          </cell>
          <cell r="E1314">
            <v>37082.19</v>
          </cell>
        </row>
        <row r="1315">
          <cell r="A1315">
            <v>1939005731</v>
          </cell>
          <cell r="B1315" t="str">
            <v>כללי-דלק ושמנים 968582</v>
          </cell>
          <cell r="C1315">
            <v>0</v>
          </cell>
          <cell r="E1315">
            <v>0</v>
          </cell>
        </row>
        <row r="1316">
          <cell r="A1316">
            <v>1939006731</v>
          </cell>
          <cell r="B1316" t="str">
            <v>כללי-79-079-82</v>
          </cell>
          <cell r="C1316">
            <v>3000</v>
          </cell>
          <cell r="D1316">
            <v>3000</v>
          </cell>
          <cell r="E1316">
            <v>1372</v>
          </cell>
        </row>
        <row r="1317">
          <cell r="A1317">
            <v>1939008731</v>
          </cell>
          <cell r="B1317" t="str">
            <v>מחפרון27550-</v>
          </cell>
          <cell r="C1317">
            <v>0</v>
          </cell>
          <cell r="E1317">
            <v>139</v>
          </cell>
        </row>
        <row r="1318">
          <cell r="A1318">
            <v>1939009731</v>
          </cell>
          <cell r="B1318" t="str">
            <v>***טנדר 2572163 איסוזו</v>
          </cell>
          <cell r="D1318">
            <v>27000</v>
          </cell>
          <cell r="E1318">
            <v>22286.720000000001</v>
          </cell>
        </row>
        <row r="1319">
          <cell r="A1319">
            <v>1939011731</v>
          </cell>
          <cell r="B1319" t="str">
            <v>נגרר 6303015</v>
          </cell>
          <cell r="C1319">
            <v>3000</v>
          </cell>
          <cell r="D1319">
            <v>2000</v>
          </cell>
          <cell r="E1319">
            <v>5082</v>
          </cell>
        </row>
        <row r="1320">
          <cell r="A1320">
            <v>1939012731</v>
          </cell>
          <cell r="B1320" t="str">
            <v>נגרר 63-846-15 מח" רכב</v>
          </cell>
          <cell r="C1320">
            <v>1200</v>
          </cell>
          <cell r="D1320">
            <v>1400</v>
          </cell>
          <cell r="E1320">
            <v>839</v>
          </cell>
        </row>
        <row r="1321">
          <cell r="A1321">
            <v>1939013731</v>
          </cell>
          <cell r="B1321" t="str">
            <v>טנדר 2375408</v>
          </cell>
          <cell r="C1321">
            <v>16000</v>
          </cell>
          <cell r="D1321">
            <v>15000</v>
          </cell>
          <cell r="E1321">
            <v>15385.57</v>
          </cell>
        </row>
        <row r="1322">
          <cell r="A1322">
            <v>1939018731</v>
          </cell>
          <cell r="B1322" t="str">
            <v>הוצ' רכב 3546657</v>
          </cell>
          <cell r="C1322">
            <v>8000</v>
          </cell>
          <cell r="D1322">
            <v>13000</v>
          </cell>
          <cell r="E1322">
            <v>3235.01</v>
          </cell>
        </row>
        <row r="1323">
          <cell r="A1323">
            <v>1939022731</v>
          </cell>
          <cell r="B1323" t="str">
            <v>מחפרון 27-55-05 מח' רכב</v>
          </cell>
          <cell r="C1323">
            <v>0</v>
          </cell>
          <cell r="E1323">
            <v>0</v>
          </cell>
        </row>
        <row r="1324">
          <cell r="A1324">
            <v>1970000399</v>
          </cell>
          <cell r="B1324" t="str">
            <v>הפרשה לדמי הבראה ומענק</v>
          </cell>
          <cell r="C1324">
            <v>0</v>
          </cell>
          <cell r="E1324">
            <v>0</v>
          </cell>
        </row>
        <row r="1325">
          <cell r="A1325">
            <v>1972000110</v>
          </cell>
          <cell r="B1325" t="str">
            <v>משכורת ושכר משולבים</v>
          </cell>
          <cell r="C1325">
            <v>0</v>
          </cell>
          <cell r="E1325">
            <v>334.23</v>
          </cell>
        </row>
        <row r="1326">
          <cell r="A1326">
            <v>1972000420</v>
          </cell>
          <cell r="B1326" t="str">
            <v>תקונים ושיפוצים תחנת ש</v>
          </cell>
          <cell r="C1326">
            <v>0</v>
          </cell>
          <cell r="E1326">
            <v>0</v>
          </cell>
        </row>
        <row r="1327">
          <cell r="A1327">
            <v>1972000440</v>
          </cell>
          <cell r="B1327" t="str">
            <v>בטוח</v>
          </cell>
          <cell r="C1327">
            <v>0</v>
          </cell>
          <cell r="E1327">
            <v>0</v>
          </cell>
        </row>
        <row r="1328">
          <cell r="A1328">
            <v>1972000720</v>
          </cell>
          <cell r="B1328" t="str">
            <v>ביוב-רכישת חומרים</v>
          </cell>
          <cell r="C1328">
            <v>0</v>
          </cell>
          <cell r="E1328">
            <v>0</v>
          </cell>
        </row>
        <row r="1329">
          <cell r="A1329">
            <v>1972000731</v>
          </cell>
          <cell r="B1329" t="str">
            <v>דלק ושמנים 62-935-63</v>
          </cell>
          <cell r="C1329">
            <v>0</v>
          </cell>
          <cell r="E1329">
            <v>0</v>
          </cell>
        </row>
        <row r="1330">
          <cell r="A1330">
            <v>1972000740</v>
          </cell>
          <cell r="B1330" t="str">
            <v>כלים מכשירים וציוד</v>
          </cell>
          <cell r="C1330">
            <v>0</v>
          </cell>
          <cell r="E1330">
            <v>0</v>
          </cell>
        </row>
        <row r="1331">
          <cell r="A1331">
            <v>1972000743</v>
          </cell>
          <cell r="B1331" t="str">
            <v>כלים מכשירים וציוד</v>
          </cell>
          <cell r="C1331">
            <v>0</v>
          </cell>
          <cell r="E1331">
            <v>0</v>
          </cell>
        </row>
        <row r="1332">
          <cell r="A1332">
            <v>1972000750</v>
          </cell>
          <cell r="B1332" t="str">
            <v>עבו קב. הוס. צנרת</v>
          </cell>
          <cell r="C1332">
            <v>250000</v>
          </cell>
          <cell r="D1332">
            <v>250000</v>
          </cell>
          <cell r="E1332">
            <v>223733.5</v>
          </cell>
        </row>
        <row r="1333">
          <cell r="A1333">
            <v>1972000752</v>
          </cell>
          <cell r="B1333" t="str">
            <v>הפעלה מכון טיהור</v>
          </cell>
          <cell r="C1333">
            <v>0</v>
          </cell>
          <cell r="E1333">
            <v>0</v>
          </cell>
        </row>
        <row r="1334">
          <cell r="A1334">
            <v>1972000770</v>
          </cell>
          <cell r="B1334" t="str">
            <v>דלק וחשמל לפעולות</v>
          </cell>
          <cell r="C1334">
            <v>10000</v>
          </cell>
          <cell r="D1334">
            <v>10000</v>
          </cell>
          <cell r="E1334">
            <v>7497.74</v>
          </cell>
        </row>
        <row r="1335">
          <cell r="A1335">
            <v>1972000780</v>
          </cell>
          <cell r="B1335" t="str">
            <v>הוצ. אחרות</v>
          </cell>
          <cell r="C1335">
            <v>1000</v>
          </cell>
          <cell r="E1335">
            <v>858.72</v>
          </cell>
        </row>
        <row r="1336">
          <cell r="A1336">
            <v>1972000930</v>
          </cell>
          <cell r="B1336" t="str">
            <v>כלים מכשירים וציוד</v>
          </cell>
          <cell r="C1336">
            <v>0</v>
          </cell>
          <cell r="E1336">
            <v>0</v>
          </cell>
        </row>
        <row r="1337">
          <cell r="A1337">
            <v>1972001731</v>
          </cell>
          <cell r="B1337" t="str">
            <v>מ.ב.ת.-דלק ושמנים 6657</v>
          </cell>
          <cell r="C1337">
            <v>0</v>
          </cell>
          <cell r="E1337">
            <v>0</v>
          </cell>
        </row>
        <row r="1338">
          <cell r="A1338">
            <v>1972002731</v>
          </cell>
          <cell r="B1338" t="str">
            <v>מים מי עכו 25-724-63</v>
          </cell>
          <cell r="C1338">
            <v>0</v>
          </cell>
          <cell r="E1338">
            <v>0</v>
          </cell>
        </row>
        <row r="1339">
          <cell r="A1339">
            <v>1972003731</v>
          </cell>
          <cell r="B1339" t="str">
            <v>ביוב מי עכו 25-723-63</v>
          </cell>
          <cell r="C1339">
            <v>0</v>
          </cell>
          <cell r="E1339">
            <v>0</v>
          </cell>
        </row>
        <row r="1340">
          <cell r="A1340">
            <v>1972004731</v>
          </cell>
          <cell r="B1340" t="str">
            <v>מי עכו 95-754-61</v>
          </cell>
          <cell r="C1340">
            <v>0</v>
          </cell>
          <cell r="E1340">
            <v>0</v>
          </cell>
        </row>
        <row r="1341">
          <cell r="A1341">
            <v>1972005731</v>
          </cell>
          <cell r="B1341" t="str">
            <v>נגרר 6197315</v>
          </cell>
          <cell r="C1341">
            <v>0</v>
          </cell>
          <cell r="E1341">
            <v>0</v>
          </cell>
        </row>
        <row r="1342">
          <cell r="A1342">
            <v>1972007731</v>
          </cell>
          <cell r="B1342" t="str">
            <v>קטנוע 36-593-64</v>
          </cell>
          <cell r="C1342">
            <v>0</v>
          </cell>
          <cell r="E1342">
            <v>0</v>
          </cell>
        </row>
        <row r="1343">
          <cell r="A1343">
            <v>1980000310</v>
          </cell>
          <cell r="B1343" t="str">
            <v>גימלאים</v>
          </cell>
          <cell r="C1343">
            <v>20000</v>
          </cell>
          <cell r="D1343">
            <v>20000</v>
          </cell>
          <cell r="E1343">
            <v>12423</v>
          </cell>
        </row>
        <row r="1344">
          <cell r="A1344">
            <v>1980000312</v>
          </cell>
          <cell r="B1344" t="str">
            <v>פנסיה קרן מקפת</v>
          </cell>
          <cell r="C1344">
            <v>50000</v>
          </cell>
          <cell r="D1344">
            <v>50000</v>
          </cell>
          <cell r="E1344">
            <v>58962.95</v>
          </cell>
        </row>
        <row r="1345">
          <cell r="A1345">
            <v>1980000733</v>
          </cell>
          <cell r="B1345" t="str">
            <v>ביטוח בריאות עובדים</v>
          </cell>
          <cell r="C1345">
            <v>150000</v>
          </cell>
          <cell r="D1345">
            <v>150000</v>
          </cell>
          <cell r="E1345">
            <v>0</v>
          </cell>
        </row>
        <row r="1346">
          <cell r="A1346">
            <v>1990000399</v>
          </cell>
          <cell r="B1346" t="str">
            <v>הפרשה מענק חד פעמי</v>
          </cell>
          <cell r="C1346">
            <v>0</v>
          </cell>
          <cell r="E1346">
            <v>0</v>
          </cell>
        </row>
        <row r="1347">
          <cell r="A1347">
            <v>1991000110</v>
          </cell>
          <cell r="B1347" t="str">
            <v>משכ' מפעלים אחרים</v>
          </cell>
          <cell r="C1347">
            <v>0</v>
          </cell>
          <cell r="E1347">
            <v>0</v>
          </cell>
        </row>
        <row r="1348">
          <cell r="A1348">
            <v>1991000310</v>
          </cell>
          <cell r="B1348" t="str">
            <v>גימלאים</v>
          </cell>
          <cell r="C1348">
            <v>29717144</v>
          </cell>
          <cell r="D1348">
            <v>28987746</v>
          </cell>
          <cell r="E1348">
            <v>22045303.510000002</v>
          </cell>
        </row>
        <row r="1349">
          <cell r="A1349">
            <v>1991000314</v>
          </cell>
          <cell r="B1349" t="str">
            <v>התייעלות בכח אדם</v>
          </cell>
          <cell r="C1349">
            <v>0</v>
          </cell>
          <cell r="E1349">
            <v>0</v>
          </cell>
        </row>
        <row r="1350">
          <cell r="A1350">
            <v>1991000320</v>
          </cell>
          <cell r="B1350" t="str">
            <v>פיצויים</v>
          </cell>
          <cell r="C1350">
            <v>500000</v>
          </cell>
          <cell r="D1350">
            <v>690000</v>
          </cell>
          <cell r="E1350">
            <v>1234044.19</v>
          </cell>
        </row>
        <row r="1351">
          <cell r="A1351">
            <v>1991000523</v>
          </cell>
          <cell r="B1351" t="str">
            <v>דמי חבר לקידום והכשרה</v>
          </cell>
          <cell r="C1351">
            <v>291072</v>
          </cell>
          <cell r="D1351">
            <v>270000</v>
          </cell>
          <cell r="E1351">
            <v>291072</v>
          </cell>
        </row>
        <row r="1352">
          <cell r="A1352">
            <v>1991000810</v>
          </cell>
          <cell r="B1352" t="str">
            <v>פנסיונרים אמי"ת</v>
          </cell>
          <cell r="C1352">
            <v>0</v>
          </cell>
          <cell r="E1352">
            <v>0</v>
          </cell>
        </row>
        <row r="1353">
          <cell r="A1353">
            <v>1993000980</v>
          </cell>
          <cell r="B1353" t="str">
            <v>הוצאות שנים קודמות</v>
          </cell>
          <cell r="C1353">
            <v>55000</v>
          </cell>
          <cell r="D1353">
            <v>55000</v>
          </cell>
          <cell r="E1353">
            <v>218711</v>
          </cell>
        </row>
        <row r="1354">
          <cell r="A1354">
            <v>1994000750</v>
          </cell>
          <cell r="B1354" t="str">
            <v>סיוע מיוחד לצפון</v>
          </cell>
          <cell r="C1354">
            <v>0</v>
          </cell>
          <cell r="E1354">
            <v>0</v>
          </cell>
        </row>
        <row r="1355">
          <cell r="A1355">
            <v>1994000980</v>
          </cell>
          <cell r="B1355" t="str">
            <v>תשלומים בלתי רגילים</v>
          </cell>
          <cell r="C1355">
            <v>0</v>
          </cell>
          <cell r="E1355">
            <v>0</v>
          </cell>
        </row>
        <row r="1356">
          <cell r="A1356">
            <v>1995000860</v>
          </cell>
          <cell r="B1356" t="str">
            <v>הנחות  ארנונה</v>
          </cell>
          <cell r="C1356">
            <v>17500000</v>
          </cell>
          <cell r="D1356">
            <v>19000000</v>
          </cell>
          <cell r="E1356">
            <v>8712602</v>
          </cell>
        </row>
        <row r="1357">
          <cell r="A1357">
            <v>1995000861</v>
          </cell>
          <cell r="B1357" t="str">
            <v>מענק לכיסוי גרעון</v>
          </cell>
          <cell r="C1357">
            <v>0</v>
          </cell>
          <cell r="E1357">
            <v>0</v>
          </cell>
        </row>
        <row r="1358">
          <cell r="A1358">
            <v>1995000862</v>
          </cell>
          <cell r="B1358" t="str">
            <v>הוצאות לכיסוי גרעון</v>
          </cell>
          <cell r="C1358">
            <v>0</v>
          </cell>
          <cell r="E1358">
            <v>0</v>
          </cell>
        </row>
        <row r="1359">
          <cell r="A1359">
            <v>1995000863</v>
          </cell>
          <cell r="B1359" t="str">
            <v>הוצאה בלתי רגילה</v>
          </cell>
          <cell r="C1359">
            <v>0</v>
          </cell>
          <cell r="E1359">
            <v>0</v>
          </cell>
        </row>
        <row r="1360">
          <cell r="A1360">
            <v>1999000980</v>
          </cell>
          <cell r="B1360" t="str">
            <v>הוצאה מותנה</v>
          </cell>
          <cell r="C1360">
            <v>0</v>
          </cell>
          <cell r="E1360">
            <v>0</v>
          </cell>
        </row>
        <row r="1361">
          <cell r="A1361">
            <v>1999999999</v>
          </cell>
          <cell r="B1361" t="str">
            <v>הוצאות מותנות</v>
          </cell>
          <cell r="C1361">
            <v>0</v>
          </cell>
          <cell r="E1361">
            <v>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זכאות"/>
      <sheetName val="גיליון2"/>
      <sheetName val="28.02.13"/>
      <sheetName val="לילך"/>
      <sheetName val="30.06.13"/>
      <sheetName val="30.06.14"/>
      <sheetName val="2015"/>
      <sheetName val="סעיפים תקציב רווחה"/>
      <sheetName val="מרכזי רווח עדכני סעיפים"/>
      <sheetName val="מפתן"/>
      <sheetName val="השתתפות רשות"/>
      <sheetName val="7.2017"/>
      <sheetName val="מכסות"/>
      <sheetName val="בדיקה"/>
      <sheetName val="צפי 2017"/>
    </sheetNames>
    <sheetDataSet>
      <sheetData sheetId="0"/>
      <sheetData sheetId="1"/>
      <sheetData sheetId="2"/>
      <sheetData sheetId="3"/>
      <sheetData sheetId="4"/>
      <sheetData sheetId="5"/>
      <sheetData sheetId="6"/>
      <sheetData sheetId="7"/>
      <sheetData sheetId="8">
        <row r="4">
          <cell r="A4">
            <v>1843800840</v>
          </cell>
          <cell r="B4" t="str">
            <v>אחזקת ילדים בפנימיות</v>
          </cell>
          <cell r="C4">
            <v>0</v>
          </cell>
          <cell r="G4">
            <v>5640192</v>
          </cell>
          <cell r="H4">
            <v>5640192</v>
          </cell>
        </row>
        <row r="5">
          <cell r="A5">
            <v>1343800930</v>
          </cell>
          <cell r="B5" t="str">
            <v>אחזקת ילדים בפנימיות</v>
          </cell>
          <cell r="C5">
            <v>0</v>
          </cell>
          <cell r="D5" t="e">
            <v>#DIV/0!</v>
          </cell>
          <cell r="F5">
            <v>0.73</v>
          </cell>
          <cell r="G5">
            <v>4117340.1599999997</v>
          </cell>
          <cell r="H5">
            <v>4117340.1599999997</v>
          </cell>
        </row>
        <row r="6">
          <cell r="A6">
            <v>1343800420</v>
          </cell>
          <cell r="B6" t="str">
            <v>השתת' הורים אחזקה</v>
          </cell>
          <cell r="C6">
            <v>0</v>
          </cell>
          <cell r="G6">
            <v>34500</v>
          </cell>
          <cell r="H6">
            <v>34500</v>
          </cell>
        </row>
        <row r="8">
          <cell r="A8">
            <v>1843900840</v>
          </cell>
          <cell r="B8" t="str">
            <v>ילדים במעונות יום</v>
          </cell>
          <cell r="C8">
            <v>0</v>
          </cell>
          <cell r="G8">
            <v>3481545.6000000006</v>
          </cell>
          <cell r="H8">
            <v>3481545.6000000006</v>
          </cell>
        </row>
        <row r="9">
          <cell r="A9">
            <v>1343900930</v>
          </cell>
          <cell r="B9" t="str">
            <v>ילדים במעונות יום</v>
          </cell>
          <cell r="C9">
            <v>0</v>
          </cell>
          <cell r="D9" t="e">
            <v>#DIV/0!</v>
          </cell>
          <cell r="F9">
            <v>0.74999999999999989</v>
          </cell>
          <cell r="G9">
            <v>2611159.2000000002</v>
          </cell>
          <cell r="H9">
            <v>2611159.2000000002</v>
          </cell>
        </row>
        <row r="11">
          <cell r="B11" t="str">
            <v>שכר עובדי רווחה</v>
          </cell>
          <cell r="C11">
            <v>8455000</v>
          </cell>
        </row>
        <row r="12">
          <cell r="A12">
            <v>1341000930</v>
          </cell>
          <cell r="B12" t="str">
            <v>שכר עובדי לשכות</v>
          </cell>
          <cell r="C12">
            <v>0</v>
          </cell>
          <cell r="D12">
            <v>0</v>
          </cell>
          <cell r="G12">
            <v>6428103</v>
          </cell>
          <cell r="H12">
            <v>6428103</v>
          </cell>
        </row>
        <row r="13">
          <cell r="A13">
            <v>1341000934</v>
          </cell>
          <cell r="B13" t="str">
            <v>כ"א לחינוך המיוחד</v>
          </cell>
          <cell r="C13">
            <v>0</v>
          </cell>
          <cell r="G13">
            <v>127498</v>
          </cell>
          <cell r="H13">
            <v>127498</v>
          </cell>
        </row>
        <row r="14">
          <cell r="A14">
            <v>1341000937</v>
          </cell>
          <cell r="B14" t="str">
            <v>בטחון עובדים-מאבטחים</v>
          </cell>
          <cell r="C14">
            <v>0</v>
          </cell>
          <cell r="G14">
            <v>15000</v>
          </cell>
          <cell r="H14">
            <v>15000</v>
          </cell>
        </row>
        <row r="15">
          <cell r="A15">
            <v>1344400934</v>
          </cell>
          <cell r="B15" t="str">
            <v>מרכזי ועדות -חוק סיעוד</v>
          </cell>
          <cell r="C15">
            <v>0</v>
          </cell>
          <cell r="G15">
            <v>257156</v>
          </cell>
          <cell r="H15">
            <v>257156</v>
          </cell>
        </row>
        <row r="16">
          <cell r="A16">
            <v>1349000938</v>
          </cell>
          <cell r="B16" t="str">
            <v>עובדי שכונה-עולים</v>
          </cell>
          <cell r="C16">
            <v>0</v>
          </cell>
          <cell r="G16">
            <v>35640</v>
          </cell>
          <cell r="H16">
            <v>35640</v>
          </cell>
        </row>
        <row r="20">
          <cell r="A20">
            <v>1845100853</v>
          </cell>
          <cell r="B20" t="str">
            <v>מפגרים במוסד ממשלתי</v>
          </cell>
          <cell r="C20">
            <v>0</v>
          </cell>
          <cell r="G20">
            <v>3093048</v>
          </cell>
          <cell r="H20">
            <v>3093048</v>
          </cell>
        </row>
        <row r="21">
          <cell r="A21">
            <v>1345100943</v>
          </cell>
          <cell r="B21" t="str">
            <v>מפגרים במוסד ממשלתי</v>
          </cell>
          <cell r="C21">
            <v>0</v>
          </cell>
          <cell r="D21" t="e">
            <v>#DIV/0!</v>
          </cell>
          <cell r="F21">
            <v>0.75</v>
          </cell>
          <cell r="G21">
            <v>2319786</v>
          </cell>
          <cell r="H21">
            <v>2319786</v>
          </cell>
        </row>
        <row r="23">
          <cell r="A23">
            <v>1845100850</v>
          </cell>
          <cell r="B23" t="str">
            <v>סדור מפגרים במוסדות</v>
          </cell>
          <cell r="C23">
            <v>0</v>
          </cell>
          <cell r="G23">
            <v>12796920</v>
          </cell>
          <cell r="H23">
            <v>12796920</v>
          </cell>
        </row>
        <row r="24">
          <cell r="A24">
            <v>1345100940</v>
          </cell>
          <cell r="B24" t="str">
            <v>סדור מפגרים במוסדות</v>
          </cell>
          <cell r="C24">
            <v>0</v>
          </cell>
          <cell r="D24" t="e">
            <v>#DIV/0!</v>
          </cell>
          <cell r="F24">
            <v>0.75</v>
          </cell>
          <cell r="G24">
            <v>9597690</v>
          </cell>
          <cell r="H24">
            <v>9597690</v>
          </cell>
        </row>
        <row r="26">
          <cell r="A26">
            <v>1844300840</v>
          </cell>
          <cell r="B26" t="str">
            <v>אחזקת זקנים במעונות</v>
          </cell>
          <cell r="C26">
            <v>0</v>
          </cell>
          <cell r="G26">
            <v>5935788</v>
          </cell>
          <cell r="H26">
            <v>5935788</v>
          </cell>
        </row>
        <row r="27">
          <cell r="A27">
            <v>1344300930</v>
          </cell>
          <cell r="B27" t="str">
            <v>אחזקת זקנים במעונות</v>
          </cell>
          <cell r="C27">
            <v>0</v>
          </cell>
          <cell r="D27" t="e">
            <v>#DIV/0!</v>
          </cell>
          <cell r="F27">
            <v>0.72499999999999998</v>
          </cell>
          <cell r="G27">
            <v>4303446.3</v>
          </cell>
          <cell r="H27">
            <v>4303446.3</v>
          </cell>
        </row>
        <row r="28">
          <cell r="A28">
            <v>1344300420</v>
          </cell>
          <cell r="B28" t="str">
            <v>אחזקת זקנים במעונות</v>
          </cell>
          <cell r="C28">
            <v>0</v>
          </cell>
          <cell r="G28">
            <v>492000</v>
          </cell>
          <cell r="H28">
            <v>492000</v>
          </cell>
        </row>
        <row r="30">
          <cell r="A30">
            <v>1841000980</v>
          </cell>
          <cell r="B30" t="str">
            <v>הוצאות אחרות בלתי רגיל</v>
          </cell>
          <cell r="C30">
            <v>0</v>
          </cell>
          <cell r="D30" t="str">
            <v>סעיף רה"ע</v>
          </cell>
          <cell r="G30">
            <v>380000</v>
          </cell>
          <cell r="H30">
            <v>380000</v>
          </cell>
        </row>
        <row r="32">
          <cell r="A32">
            <v>1844500840</v>
          </cell>
          <cell r="B32" t="str">
            <v>מסגרות יומיות לזקן</v>
          </cell>
          <cell r="C32">
            <v>0</v>
          </cell>
          <cell r="G32">
            <v>650000</v>
          </cell>
          <cell r="H32">
            <v>650000</v>
          </cell>
        </row>
        <row r="33">
          <cell r="A33">
            <v>1344500930</v>
          </cell>
          <cell r="B33" t="str">
            <v>מסגרות יומיות לזקן</v>
          </cell>
          <cell r="C33">
            <v>0</v>
          </cell>
          <cell r="D33" t="e">
            <v>#DIV/0!</v>
          </cell>
          <cell r="E33" t="str">
            <v>לוקחים את כל הביצוע מפחיתים את צד ג' וכופלים ב 75% ואז מוצאים את האחוז המשוקלל</v>
          </cell>
          <cell r="F33">
            <v>0.64</v>
          </cell>
          <cell r="G33">
            <v>416000</v>
          </cell>
          <cell r="H33">
            <v>416000</v>
          </cell>
        </row>
        <row r="34">
          <cell r="A34">
            <v>1344500420</v>
          </cell>
          <cell r="B34" t="str">
            <v>מסגרת יומיות לזקן</v>
          </cell>
          <cell r="C34">
            <v>0</v>
          </cell>
          <cell r="G34">
            <v>60000</v>
          </cell>
          <cell r="H34">
            <v>60000</v>
          </cell>
        </row>
        <row r="36">
          <cell r="A36">
            <v>1840000910</v>
          </cell>
          <cell r="B36" t="str">
            <v>העברה לתב"ר</v>
          </cell>
          <cell r="C36">
            <v>0</v>
          </cell>
          <cell r="D36" t="str">
            <v>סעיפים ללא מימון ממשרד הרווחה</v>
          </cell>
          <cell r="G36">
            <v>215000</v>
          </cell>
          <cell r="H36">
            <v>125000</v>
          </cell>
        </row>
        <row r="37">
          <cell r="A37">
            <v>1841000511</v>
          </cell>
          <cell r="B37" t="str">
            <v>כיבודים</v>
          </cell>
          <cell r="C37">
            <v>0</v>
          </cell>
          <cell r="D37"/>
          <cell r="G37">
            <v>11000</v>
          </cell>
          <cell r="H37">
            <v>11000</v>
          </cell>
        </row>
        <row r="38">
          <cell r="A38">
            <v>1841000560</v>
          </cell>
          <cell r="B38" t="str">
            <v>מכשירי כתיבה והדפסות</v>
          </cell>
          <cell r="C38">
            <v>0</v>
          </cell>
          <cell r="D38"/>
          <cell r="G38">
            <v>12500</v>
          </cell>
          <cell r="H38">
            <v>12500</v>
          </cell>
        </row>
        <row r="39">
          <cell r="A39">
            <v>1841000570</v>
          </cell>
          <cell r="B39" t="str">
            <v>רווחה-מיכון</v>
          </cell>
          <cell r="C39">
            <v>0</v>
          </cell>
          <cell r="D39"/>
          <cell r="G39">
            <v>15600</v>
          </cell>
          <cell r="H39">
            <v>15600</v>
          </cell>
        </row>
        <row r="40">
          <cell r="A40">
            <v>1848300580</v>
          </cell>
          <cell r="B40" t="str">
            <v>הוצ' אחרות</v>
          </cell>
          <cell r="C40">
            <v>0</v>
          </cell>
          <cell r="D40"/>
          <cell r="G40">
            <v>13000</v>
          </cell>
          <cell r="H40">
            <v>13000</v>
          </cell>
        </row>
        <row r="41">
          <cell r="A41">
            <v>1841000571</v>
          </cell>
          <cell r="B41" t="str">
            <v>עלות שימוש בתוכנת נוכח</v>
          </cell>
          <cell r="C41">
            <v>0</v>
          </cell>
          <cell r="D41"/>
          <cell r="G41">
            <v>0</v>
          </cell>
          <cell r="H41">
            <v>0</v>
          </cell>
        </row>
        <row r="42">
          <cell r="A42">
            <v>1841000580</v>
          </cell>
          <cell r="B42" t="str">
            <v>שונות</v>
          </cell>
          <cell r="C42">
            <v>0</v>
          </cell>
          <cell r="D42"/>
          <cell r="G42">
            <v>30000</v>
          </cell>
          <cell r="H42">
            <v>30000</v>
          </cell>
        </row>
        <row r="43">
          <cell r="A43">
            <v>1841000910</v>
          </cell>
          <cell r="B43" t="str">
            <v>עיר ללא אלימות</v>
          </cell>
          <cell r="C43">
            <v>0</v>
          </cell>
          <cell r="D43"/>
          <cell r="G43">
            <v>0</v>
          </cell>
          <cell r="H43">
            <v>0</v>
          </cell>
        </row>
        <row r="44">
          <cell r="A44">
            <v>1846400780</v>
          </cell>
          <cell r="B44" t="str">
            <v>הוצאות שונות</v>
          </cell>
          <cell r="C44">
            <v>0</v>
          </cell>
          <cell r="D44"/>
          <cell r="G44">
            <v>8000</v>
          </cell>
          <cell r="H44">
            <v>8000</v>
          </cell>
        </row>
        <row r="45">
          <cell r="A45">
            <v>1844000430</v>
          </cell>
          <cell r="B45" t="str">
            <v>מים וחשמל-מועדון קשישים</v>
          </cell>
          <cell r="C45">
            <v>0</v>
          </cell>
          <cell r="D45"/>
          <cell r="G45">
            <v>2112</v>
          </cell>
          <cell r="H45">
            <v>2112</v>
          </cell>
        </row>
        <row r="46">
          <cell r="A46">
            <v>1841100750</v>
          </cell>
          <cell r="B46" t="str">
            <v>עבודות קבלניות</v>
          </cell>
          <cell r="C46">
            <v>0</v>
          </cell>
          <cell r="D46"/>
          <cell r="G46">
            <v>30000</v>
          </cell>
          <cell r="H46">
            <v>30000</v>
          </cell>
        </row>
        <row r="47">
          <cell r="A47">
            <v>1844400780</v>
          </cell>
          <cell r="B47" t="str">
            <v>שכונה תומכת+קהילה תומכת</v>
          </cell>
          <cell r="C47">
            <v>0</v>
          </cell>
          <cell r="D47"/>
          <cell r="G47">
            <v>60000</v>
          </cell>
          <cell r="H47">
            <v>60000</v>
          </cell>
        </row>
        <row r="49">
          <cell r="A49">
            <v>1842200840</v>
          </cell>
          <cell r="B49" t="str">
            <v>משפחות במצוקה בקהילה</v>
          </cell>
          <cell r="C49">
            <v>0</v>
          </cell>
          <cell r="D49" t="e">
            <v>#DIV/0!</v>
          </cell>
          <cell r="F49">
            <v>0.7</v>
          </cell>
          <cell r="G49">
            <v>180000</v>
          </cell>
          <cell r="H49">
            <v>180000</v>
          </cell>
        </row>
        <row r="50">
          <cell r="A50">
            <v>1342200930</v>
          </cell>
          <cell r="B50" t="str">
            <v>משפחות במצוקה בקהילה</v>
          </cell>
          <cell r="C50">
            <v>0</v>
          </cell>
          <cell r="G50">
            <v>125999.99999999999</v>
          </cell>
          <cell r="H50">
            <v>125999.99999999999</v>
          </cell>
        </row>
        <row r="52">
          <cell r="A52">
            <v>1845100842</v>
          </cell>
          <cell r="B52" t="str">
            <v>אחזקת אוטיסטים במסגר</v>
          </cell>
          <cell r="C52">
            <v>0</v>
          </cell>
          <cell r="D52" t="e">
            <v>#DIV/0!</v>
          </cell>
          <cell r="F52">
            <v>1</v>
          </cell>
          <cell r="G52">
            <v>1248480</v>
          </cell>
          <cell r="H52">
            <v>1248480</v>
          </cell>
        </row>
        <row r="53">
          <cell r="A53">
            <v>1345100932</v>
          </cell>
          <cell r="B53" t="str">
            <v>אחזקת אוטיסטים במסגר</v>
          </cell>
          <cell r="C53">
            <v>0</v>
          </cell>
          <cell r="G53">
            <v>1248480</v>
          </cell>
          <cell r="H53">
            <v>1248480</v>
          </cell>
        </row>
        <row r="55">
          <cell r="A55">
            <v>1845200842</v>
          </cell>
          <cell r="B55" t="str">
            <v>מעשי"ם .</v>
          </cell>
          <cell r="C55">
            <v>0</v>
          </cell>
          <cell r="D55" t="e">
            <v>#DIV/0!</v>
          </cell>
          <cell r="F55">
            <v>0.7</v>
          </cell>
          <cell r="G55">
            <v>806126.40000000014</v>
          </cell>
          <cell r="H55">
            <v>806126.40000000014</v>
          </cell>
        </row>
        <row r="56">
          <cell r="A56">
            <v>1345200932</v>
          </cell>
          <cell r="B56" t="str">
            <v>מעשיים</v>
          </cell>
          <cell r="C56">
            <v>0</v>
          </cell>
          <cell r="G56">
            <v>564288.4800000001</v>
          </cell>
          <cell r="H56">
            <v>564288.4800000001</v>
          </cell>
        </row>
        <row r="57">
          <cell r="E57"/>
        </row>
        <row r="58">
          <cell r="A58">
            <v>1845200847</v>
          </cell>
          <cell r="B58" t="str">
            <v>מ.יום טיפולי-מש"ה</v>
          </cell>
          <cell r="C58">
            <v>0</v>
          </cell>
          <cell r="D58" t="e">
            <v>#DIV/0!</v>
          </cell>
          <cell r="E58"/>
          <cell r="G58">
            <v>1401896.16</v>
          </cell>
          <cell r="H58">
            <v>1401896.16</v>
          </cell>
        </row>
        <row r="59">
          <cell r="A59">
            <v>1845200846</v>
          </cell>
          <cell r="B59" t="str">
            <v>מ.יום אימוני-מש"ה</v>
          </cell>
          <cell r="E59"/>
          <cell r="G59">
            <v>50000</v>
          </cell>
          <cell r="H59">
            <v>50000</v>
          </cell>
        </row>
        <row r="60">
          <cell r="A60">
            <v>1345200937</v>
          </cell>
          <cell r="B60" t="str">
            <v>מ.יום טיפולי-מש"ה</v>
          </cell>
          <cell r="C60">
            <v>0</v>
          </cell>
          <cell r="F60">
            <v>0.86379222267075761</v>
          </cell>
          <cell r="G60">
            <v>1210947</v>
          </cell>
          <cell r="H60">
            <v>1210947</v>
          </cell>
        </row>
        <row r="61">
          <cell r="A61">
            <v>1845200110</v>
          </cell>
          <cell r="B61" t="str">
            <v>מפגרים מעון יום</v>
          </cell>
          <cell r="G61">
            <v>0</v>
          </cell>
          <cell r="H61">
            <v>0</v>
          </cell>
        </row>
        <row r="62">
          <cell r="A62">
            <v>1845200210</v>
          </cell>
          <cell r="B62" t="str">
            <v>שכ"ע זמניים</v>
          </cell>
          <cell r="C62" t="str">
            <v>מסגרות ספק ממשלתי</v>
          </cell>
          <cell r="D62" t="str">
            <v>מסגרת רשות</v>
          </cell>
          <cell r="E62" t="str">
            <v>ילדי חוץ</v>
          </cell>
          <cell r="G62">
            <v>0</v>
          </cell>
          <cell r="H62">
            <v>0</v>
          </cell>
        </row>
        <row r="63">
          <cell r="A63" t="str">
            <v xml:space="preserve">הסבר: </v>
          </cell>
          <cell r="C63"/>
          <cell r="D63">
            <v>1014147</v>
          </cell>
          <cell r="E63">
            <v>196800</v>
          </cell>
          <cell r="F63" t="str">
            <v>מדובר במסגרות שונות אשר לכול אחת יש תעריך שונה(לגבי ילדי עכו שבחוץ כולל מעון דקל) סה"כ 112683 לחודש *0.75</v>
          </cell>
        </row>
        <row r="65">
          <cell r="A65">
            <v>1846500840</v>
          </cell>
          <cell r="B65" t="str">
            <v>אחזקת נכים בפנימיות</v>
          </cell>
          <cell r="C65">
            <v>0</v>
          </cell>
          <cell r="D65" t="e">
            <v>#DIV/0!</v>
          </cell>
          <cell r="G65">
            <v>4026960</v>
          </cell>
          <cell r="H65">
            <v>4026960</v>
          </cell>
        </row>
        <row r="66">
          <cell r="A66">
            <v>1346500930</v>
          </cell>
          <cell r="B66" t="str">
            <v>אחזקת נכים בפנימיות</v>
          </cell>
          <cell r="C66">
            <v>0</v>
          </cell>
          <cell r="F66">
            <v>0.75</v>
          </cell>
          <cell r="G66">
            <v>3020220</v>
          </cell>
          <cell r="H66">
            <v>3020220</v>
          </cell>
        </row>
        <row r="68">
          <cell r="A68">
            <v>1846800849</v>
          </cell>
          <cell r="B68" t="str">
            <v>דמי תקשורת לחירשים</v>
          </cell>
        </row>
        <row r="69">
          <cell r="A69">
            <v>1346800939</v>
          </cell>
          <cell r="B69" t="str">
            <v>דמי תקשורת לחירשים</v>
          </cell>
        </row>
        <row r="71">
          <cell r="A71">
            <v>1843800845</v>
          </cell>
          <cell r="B71" t="str">
            <v>תכנית עם הפנים לקהילה</v>
          </cell>
          <cell r="C71">
            <v>0</v>
          </cell>
          <cell r="D71" t="e">
            <v>#DIV/0!</v>
          </cell>
          <cell r="F71">
            <v>0.57459375000000001</v>
          </cell>
          <cell r="G71">
            <v>320000</v>
          </cell>
          <cell r="H71">
            <v>320000</v>
          </cell>
        </row>
        <row r="72">
          <cell r="A72">
            <v>1343800935</v>
          </cell>
          <cell r="B72" t="str">
            <v>תכנית עם הפנים לקהילה</v>
          </cell>
          <cell r="C72">
            <v>0</v>
          </cell>
          <cell r="G72">
            <v>183870</v>
          </cell>
          <cell r="H72">
            <v>183870</v>
          </cell>
        </row>
        <row r="73">
          <cell r="A73">
            <v>1843800110</v>
          </cell>
          <cell r="B73" t="str">
            <v>שכר עם הפנים לקהילה- מועדונית</v>
          </cell>
          <cell r="G73">
            <v>0</v>
          </cell>
          <cell r="H73">
            <v>0</v>
          </cell>
        </row>
        <row r="75">
          <cell r="A75">
            <v>1843500842</v>
          </cell>
          <cell r="B75" t="str">
            <v>טיפול בילד בקהילה</v>
          </cell>
          <cell r="C75">
            <v>0</v>
          </cell>
          <cell r="D75" t="e">
            <v>#DIV/0!</v>
          </cell>
          <cell r="G75">
            <v>480000</v>
          </cell>
          <cell r="H75">
            <v>480000</v>
          </cell>
        </row>
        <row r="76">
          <cell r="A76">
            <v>1343500932</v>
          </cell>
          <cell r="B76" t="str">
            <v>טיפול בילד בקהילה</v>
          </cell>
          <cell r="C76">
            <v>0</v>
          </cell>
          <cell r="G76">
            <v>653346</v>
          </cell>
          <cell r="H76">
            <v>653346</v>
          </cell>
        </row>
        <row r="77">
          <cell r="B77"/>
          <cell r="C77" t="str">
            <v>מכסות</v>
          </cell>
          <cell r="D77" t="str">
            <v>עלות</v>
          </cell>
        </row>
        <row r="78">
          <cell r="A78" t="str">
            <v>מעון חפציבה</v>
          </cell>
          <cell r="B78" t="str">
            <v>רשות</v>
          </cell>
          <cell r="C78">
            <v>15</v>
          </cell>
          <cell r="D78">
            <v>1135</v>
          </cell>
          <cell r="E78" t="str">
            <v>חלק מההכנסה הינה גם עבור שכ"ע</v>
          </cell>
          <cell r="F78"/>
          <cell r="G78">
            <v>653346</v>
          </cell>
          <cell r="H78">
            <v>653346</v>
          </cell>
        </row>
        <row r="79">
          <cell r="A79" t="str">
            <v>מעון בורלא</v>
          </cell>
          <cell r="B79" t="str">
            <v>רשות</v>
          </cell>
          <cell r="C79">
            <v>5</v>
          </cell>
          <cell r="D79">
            <v>1135</v>
          </cell>
          <cell r="E79"/>
          <cell r="F79"/>
        </row>
        <row r="80">
          <cell r="A80" t="str">
            <v>נתיבים להורות +גיל הרך</v>
          </cell>
          <cell r="B80" t="str">
            <v>רשות</v>
          </cell>
          <cell r="C80">
            <v>5</v>
          </cell>
          <cell r="D80">
            <v>603</v>
          </cell>
          <cell r="F80"/>
        </row>
        <row r="81">
          <cell r="B81" t="str">
            <v>רשות</v>
          </cell>
          <cell r="C81">
            <v>6</v>
          </cell>
          <cell r="D81">
            <v>809</v>
          </cell>
          <cell r="F81"/>
        </row>
        <row r="82">
          <cell r="A82" t="str">
            <v>מעון כוכב</v>
          </cell>
          <cell r="B82" t="str">
            <v>ממשלתי-</v>
          </cell>
          <cell r="C82">
            <v>15</v>
          </cell>
          <cell r="D82">
            <v>1135</v>
          </cell>
          <cell r="F82"/>
        </row>
        <row r="83">
          <cell r="B83" t="str">
            <v>"משפחות אומנה"</v>
          </cell>
          <cell r="C83"/>
          <cell r="D83">
            <v>25000</v>
          </cell>
          <cell r="F83"/>
        </row>
        <row r="84">
          <cell r="B84"/>
          <cell r="C84"/>
          <cell r="D84"/>
        </row>
        <row r="85">
          <cell r="A85">
            <v>1845300847</v>
          </cell>
          <cell r="B85" t="str">
            <v>הסעות למ.יום למפגר</v>
          </cell>
          <cell r="C85">
            <v>0</v>
          </cell>
          <cell r="D85" t="e">
            <v>#DIV/0!</v>
          </cell>
          <cell r="G85">
            <v>420000</v>
          </cell>
          <cell r="H85">
            <v>420000</v>
          </cell>
        </row>
        <row r="86">
          <cell r="A86">
            <v>1345300937</v>
          </cell>
          <cell r="B86" t="str">
            <v>הסעות למ.יום למפגר</v>
          </cell>
          <cell r="C86">
            <v>0</v>
          </cell>
          <cell r="F86">
            <v>0.6</v>
          </cell>
          <cell r="G86">
            <v>252000</v>
          </cell>
          <cell r="H86">
            <v>252000</v>
          </cell>
        </row>
        <row r="88">
          <cell r="A88">
            <v>1846700844</v>
          </cell>
          <cell r="B88" t="str">
            <v>הסעות למ.יום שיקומי</v>
          </cell>
          <cell r="C88">
            <v>0</v>
          </cell>
          <cell r="D88" t="e">
            <v>#DIV/0!</v>
          </cell>
          <cell r="F88">
            <v>0.75</v>
          </cell>
          <cell r="G88">
            <v>350000</v>
          </cell>
          <cell r="H88">
            <v>350000</v>
          </cell>
        </row>
        <row r="89">
          <cell r="A89">
            <v>1346700934</v>
          </cell>
          <cell r="B89" t="str">
            <v>הסעות למ.יום שיקומי</v>
          </cell>
          <cell r="C89">
            <v>0</v>
          </cell>
          <cell r="G89">
            <v>262500</v>
          </cell>
          <cell r="H89">
            <v>262500</v>
          </cell>
        </row>
        <row r="91">
          <cell r="A91">
            <v>1846700843</v>
          </cell>
          <cell r="B91" t="str">
            <v>מ.יום שיקומי לנכים</v>
          </cell>
          <cell r="C91">
            <v>0</v>
          </cell>
          <cell r="D91" t="e">
            <v>#DIV/0!</v>
          </cell>
          <cell r="F91">
            <v>0.7</v>
          </cell>
          <cell r="G91">
            <v>396720</v>
          </cell>
          <cell r="H91">
            <v>396720</v>
          </cell>
        </row>
        <row r="92">
          <cell r="A92">
            <v>1346700933</v>
          </cell>
          <cell r="B92" t="str">
            <v>מ.יום שיקומי לנכים</v>
          </cell>
          <cell r="C92">
            <v>0</v>
          </cell>
          <cell r="G92">
            <v>277704</v>
          </cell>
          <cell r="H92">
            <v>277704</v>
          </cell>
        </row>
        <row r="93">
          <cell r="A93">
            <v>1346700420</v>
          </cell>
          <cell r="B93" t="str">
            <v>מ.יום שיקומי לנכים</v>
          </cell>
          <cell r="C93">
            <v>0</v>
          </cell>
          <cell r="G93">
            <v>91500</v>
          </cell>
          <cell r="H93">
            <v>91500</v>
          </cell>
        </row>
        <row r="95">
          <cell r="A95">
            <v>1846800843</v>
          </cell>
          <cell r="B95" t="str">
            <v>מרכזי איבחון ושיקום</v>
          </cell>
          <cell r="C95">
            <v>0</v>
          </cell>
          <cell r="D95" t="e">
            <v>#DIV/0!</v>
          </cell>
          <cell r="G95">
            <v>46046.880000000005</v>
          </cell>
          <cell r="H95">
            <v>46046.880000000005</v>
          </cell>
        </row>
        <row r="96">
          <cell r="A96">
            <v>1346800933</v>
          </cell>
          <cell r="B96" t="str">
            <v>מרכזי איבחון ושיקום</v>
          </cell>
          <cell r="C96">
            <v>0</v>
          </cell>
          <cell r="F96">
            <v>0.75</v>
          </cell>
          <cell r="G96">
            <v>34535.160000000003</v>
          </cell>
          <cell r="H96">
            <v>34535.160000000003</v>
          </cell>
        </row>
        <row r="98">
          <cell r="A98">
            <v>1846800846</v>
          </cell>
          <cell r="B98" t="str">
            <v>קהילה תומכת לנכים</v>
          </cell>
          <cell r="C98">
            <v>0</v>
          </cell>
          <cell r="D98" t="e">
            <v>#DIV/0!</v>
          </cell>
          <cell r="F98">
            <v>0.75</v>
          </cell>
          <cell r="G98">
            <v>342597.60000000003</v>
          </cell>
          <cell r="H98">
            <v>342597.60000000003</v>
          </cell>
        </row>
        <row r="99">
          <cell r="A99">
            <v>1346800936</v>
          </cell>
          <cell r="B99" t="str">
            <v>קהילה תומכת לנכים</v>
          </cell>
          <cell r="C99">
            <v>0</v>
          </cell>
          <cell r="G99">
            <v>256948.2</v>
          </cell>
          <cell r="H99">
            <v>256948.2</v>
          </cell>
        </row>
        <row r="101">
          <cell r="A101">
            <v>1849000844</v>
          </cell>
          <cell r="B101" t="str">
            <v>ילדים בפנימיות-עולים</v>
          </cell>
          <cell r="C101">
            <v>0</v>
          </cell>
          <cell r="D101" t="e">
            <v>#DIV/0!</v>
          </cell>
          <cell r="G101">
            <v>119768.40000000001</v>
          </cell>
          <cell r="H101">
            <v>119768.40000000001</v>
          </cell>
        </row>
        <row r="102">
          <cell r="A102">
            <v>1349000934</v>
          </cell>
          <cell r="B102" t="str">
            <v>ילדים בפנימיות -עולים</v>
          </cell>
          <cell r="C102">
            <v>0</v>
          </cell>
          <cell r="F102">
            <v>0.75</v>
          </cell>
          <cell r="G102">
            <v>89826.3</v>
          </cell>
          <cell r="H102">
            <v>89826.3</v>
          </cell>
        </row>
        <row r="104">
          <cell r="A104">
            <v>1849001844</v>
          </cell>
          <cell r="B104" t="str">
            <v>תוכנית קבוצתית לעולים</v>
          </cell>
          <cell r="C104">
            <v>0</v>
          </cell>
          <cell r="G104">
            <v>15000</v>
          </cell>
          <cell r="H104">
            <v>15000</v>
          </cell>
        </row>
        <row r="105">
          <cell r="A105">
            <v>1849001841</v>
          </cell>
          <cell r="B105" t="str">
            <v>פיתוח קהיל.בין תרבו</v>
          </cell>
          <cell r="C105">
            <v>0</v>
          </cell>
          <cell r="G105">
            <v>200000</v>
          </cell>
          <cell r="H105">
            <v>200000</v>
          </cell>
        </row>
        <row r="106">
          <cell r="A106">
            <v>1349001931</v>
          </cell>
          <cell r="B106" t="str">
            <v>פיתוח קהיל.בין תרבו</v>
          </cell>
          <cell r="C106">
            <v>0</v>
          </cell>
          <cell r="D106" t="e">
            <v>#DIV/0!</v>
          </cell>
          <cell r="F106">
            <v>0.69767441860465118</v>
          </cell>
          <cell r="G106">
            <v>150000</v>
          </cell>
          <cell r="H106">
            <v>150000</v>
          </cell>
        </row>
        <row r="107">
          <cell r="A107">
            <v>1349001934</v>
          </cell>
          <cell r="B107" t="str">
            <v>תוכנית קבוצתית לעולים</v>
          </cell>
        </row>
        <row r="109">
          <cell r="A109">
            <v>1849999780</v>
          </cell>
          <cell r="B109" t="str">
            <v>תוכנית לאומית צעירים דוח שמיד</v>
          </cell>
          <cell r="C109" t="e">
            <v>#N/A</v>
          </cell>
        </row>
        <row r="110">
          <cell r="B110" t="str">
            <v>השתת.גרעין אומץ בפרוייקט התוכנית הלאומית דוח שמיד</v>
          </cell>
          <cell r="C110" t="e">
            <v>#N/A</v>
          </cell>
        </row>
        <row r="111">
          <cell r="B111" t="str">
            <v>משרדי ממשלה-רווחה  תוכנית לאומית דוח שמיד</v>
          </cell>
          <cell r="C111" t="e">
            <v>#N/A</v>
          </cell>
        </row>
        <row r="113">
          <cell r="A113">
            <v>1841000846</v>
          </cell>
          <cell r="B113" t="str">
            <v>מחשוב מחלקות רווחה</v>
          </cell>
          <cell r="C113">
            <v>0</v>
          </cell>
          <cell r="D113" t="e">
            <v>#DIV/0!</v>
          </cell>
          <cell r="G113">
            <v>30000</v>
          </cell>
          <cell r="H113">
            <v>30000</v>
          </cell>
        </row>
        <row r="114">
          <cell r="A114">
            <v>1341000936</v>
          </cell>
          <cell r="B114" t="str">
            <v>מחשוב מחלקות רווחה</v>
          </cell>
          <cell r="C114">
            <v>0</v>
          </cell>
          <cell r="G114">
            <v>24600</v>
          </cell>
          <cell r="H114">
            <v>24600</v>
          </cell>
        </row>
        <row r="116">
          <cell r="A116">
            <v>1843500841</v>
          </cell>
          <cell r="B116" t="str">
            <v>טיפול במשפחות אומנה</v>
          </cell>
          <cell r="C116">
            <v>0</v>
          </cell>
          <cell r="D116" t="e">
            <v>#DIV/0!</v>
          </cell>
          <cell r="G116">
            <v>294494.39999999997</v>
          </cell>
          <cell r="H116">
            <v>294494.39999999997</v>
          </cell>
        </row>
        <row r="117">
          <cell r="A117">
            <v>1343500931</v>
          </cell>
          <cell r="B117" t="str">
            <v>טיפול במשפחות אומנה</v>
          </cell>
          <cell r="C117">
            <v>0</v>
          </cell>
          <cell r="F117">
            <v>0.75</v>
          </cell>
          <cell r="G117">
            <v>220870.8</v>
          </cell>
          <cell r="H117">
            <v>220870.8</v>
          </cell>
        </row>
        <row r="119">
          <cell r="A119">
            <v>1842401840</v>
          </cell>
          <cell r="B119" t="str">
            <v>ת. לאומית פרט ומשפחה</v>
          </cell>
          <cell r="C119">
            <v>0</v>
          </cell>
          <cell r="D119" t="e">
            <v>#DIV/0!</v>
          </cell>
          <cell r="F119">
            <v>0.9</v>
          </cell>
          <cell r="G119">
            <v>162000</v>
          </cell>
          <cell r="H119">
            <v>162000</v>
          </cell>
        </row>
        <row r="120">
          <cell r="A120">
            <v>1342401930</v>
          </cell>
          <cell r="B120" t="str">
            <v>ת. לאומית פרט ומשפחה</v>
          </cell>
          <cell r="C120">
            <v>0</v>
          </cell>
          <cell r="G120">
            <v>145800</v>
          </cell>
          <cell r="H120">
            <v>145800</v>
          </cell>
        </row>
        <row r="122">
          <cell r="A122">
            <v>1842200843</v>
          </cell>
          <cell r="B122" t="str">
            <v>סיוע למשפחות עם ילדים</v>
          </cell>
          <cell r="C122">
            <v>0</v>
          </cell>
          <cell r="D122" t="e">
            <v>#DIV/0!</v>
          </cell>
          <cell r="F122">
            <v>0.7</v>
          </cell>
          <cell r="G122">
            <v>160000</v>
          </cell>
          <cell r="H122">
            <v>160000</v>
          </cell>
        </row>
        <row r="123">
          <cell r="A123">
            <v>1342200933</v>
          </cell>
          <cell r="B123" t="str">
            <v>סיוע למשפחות עם ילדים</v>
          </cell>
          <cell r="C123">
            <v>0</v>
          </cell>
          <cell r="G123">
            <v>112000</v>
          </cell>
          <cell r="H123">
            <v>112000</v>
          </cell>
        </row>
        <row r="125">
          <cell r="A125">
            <v>1842200846</v>
          </cell>
          <cell r="B125" t="str">
            <v>מקלטים לנשים מוכות</v>
          </cell>
          <cell r="C125">
            <v>0</v>
          </cell>
          <cell r="D125" t="e">
            <v>#DIV/0!</v>
          </cell>
          <cell r="F125">
            <v>0.75</v>
          </cell>
          <cell r="G125">
            <v>100000</v>
          </cell>
          <cell r="H125">
            <v>100000</v>
          </cell>
        </row>
        <row r="126">
          <cell r="A126">
            <v>1342200936</v>
          </cell>
          <cell r="B126" t="str">
            <v>מקלטים לנשים מוכות</v>
          </cell>
          <cell r="C126">
            <v>0</v>
          </cell>
          <cell r="G126">
            <v>75000</v>
          </cell>
          <cell r="H126">
            <v>75000</v>
          </cell>
        </row>
        <row r="128">
          <cell r="A128">
            <v>1843500845</v>
          </cell>
          <cell r="B128" t="str">
            <v>מועדוניות משותפות</v>
          </cell>
          <cell r="C128">
            <v>0</v>
          </cell>
          <cell r="D128" t="e">
            <v>#DIV/0!</v>
          </cell>
          <cell r="F128">
            <v>0.75155555555555553</v>
          </cell>
          <cell r="G128">
            <v>108000</v>
          </cell>
          <cell r="H128">
            <v>108000</v>
          </cell>
        </row>
        <row r="129">
          <cell r="A129">
            <v>1343500935</v>
          </cell>
          <cell r="B129" t="str">
            <v>מועדוניות משותפות</v>
          </cell>
          <cell r="C129">
            <v>0</v>
          </cell>
          <cell r="G129">
            <v>81168</v>
          </cell>
          <cell r="H129">
            <v>81168</v>
          </cell>
        </row>
        <row r="131">
          <cell r="A131">
            <v>1843500844</v>
          </cell>
          <cell r="B131" t="str">
            <v>ת.לאומית-ילד ונוער</v>
          </cell>
          <cell r="C131">
            <v>0</v>
          </cell>
          <cell r="D131" t="e">
            <v>#DIV/0!</v>
          </cell>
          <cell r="E131"/>
          <cell r="G131">
            <v>90000</v>
          </cell>
          <cell r="H131">
            <v>90000</v>
          </cell>
        </row>
        <row r="132">
          <cell r="A132">
            <v>1343500934</v>
          </cell>
          <cell r="B132" t="str">
            <v>ת.לאומית-ילד ונוער</v>
          </cell>
          <cell r="C132">
            <v>0</v>
          </cell>
          <cell r="G132">
            <v>385668</v>
          </cell>
          <cell r="H132">
            <v>385668</v>
          </cell>
        </row>
        <row r="133">
          <cell r="A133">
            <v>1843500110</v>
          </cell>
          <cell r="B133" t="str">
            <v>שכר ת. לאומית ילד ונוער</v>
          </cell>
          <cell r="G133">
            <v>0</v>
          </cell>
          <cell r="H133">
            <v>0</v>
          </cell>
        </row>
        <row r="134">
          <cell r="B134"/>
          <cell r="C134" t="str">
            <v>ילדים</v>
          </cell>
          <cell r="D134" t="str">
            <v>תעריפים</v>
          </cell>
          <cell r="E134"/>
        </row>
        <row r="135">
          <cell r="B135"/>
          <cell r="C135">
            <v>28</v>
          </cell>
          <cell r="D135">
            <v>603</v>
          </cell>
          <cell r="E135">
            <v>12</v>
          </cell>
        </row>
        <row r="136">
          <cell r="B136"/>
          <cell r="C136">
            <v>14</v>
          </cell>
          <cell r="D136">
            <v>809</v>
          </cell>
          <cell r="E136">
            <v>12</v>
          </cell>
        </row>
        <row r="137">
          <cell r="B137"/>
          <cell r="D137"/>
        </row>
        <row r="138">
          <cell r="B138"/>
          <cell r="D138"/>
        </row>
        <row r="139">
          <cell r="B139"/>
        </row>
        <row r="140">
          <cell r="B140"/>
        </row>
        <row r="141">
          <cell r="A141">
            <v>1844400841</v>
          </cell>
          <cell r="B141" t="str">
            <v>שירותים לניצולי שואה</v>
          </cell>
          <cell r="C141">
            <v>0</v>
          </cell>
          <cell r="D141" t="e">
            <v>#DIV/0!</v>
          </cell>
          <cell r="F141">
            <v>1</v>
          </cell>
          <cell r="G141">
            <v>100000</v>
          </cell>
          <cell r="H141">
            <v>100000</v>
          </cell>
        </row>
        <row r="142">
          <cell r="A142">
            <v>1344400931</v>
          </cell>
          <cell r="B142" t="str">
            <v>שירותים לניצולי שואה</v>
          </cell>
          <cell r="C142">
            <v>0</v>
          </cell>
          <cell r="G142">
            <v>100000</v>
          </cell>
          <cell r="H142">
            <v>100000</v>
          </cell>
        </row>
        <row r="144">
          <cell r="A144">
            <v>1844400842</v>
          </cell>
          <cell r="B144" t="str">
            <v>טיפול בזקן בקהילה</v>
          </cell>
          <cell r="C144">
            <v>0</v>
          </cell>
          <cell r="G144">
            <v>220000</v>
          </cell>
          <cell r="H144">
            <v>220000</v>
          </cell>
        </row>
        <row r="145">
          <cell r="A145">
            <v>1344400932</v>
          </cell>
          <cell r="B145" t="str">
            <v>טיפול בזקן בקהילה</v>
          </cell>
          <cell r="C145">
            <v>0</v>
          </cell>
          <cell r="D145" t="e">
            <v>#DIV/0!</v>
          </cell>
          <cell r="F145">
            <v>0.80227272727272725</v>
          </cell>
          <cell r="G145">
            <v>154000</v>
          </cell>
          <cell r="H145">
            <v>154000</v>
          </cell>
        </row>
        <row r="146">
          <cell r="A146">
            <v>1344300421</v>
          </cell>
          <cell r="B146" t="str">
            <v>עזרה ביתית</v>
          </cell>
          <cell r="C146">
            <v>0</v>
          </cell>
          <cell r="G146">
            <v>22500</v>
          </cell>
          <cell r="H146">
            <v>22500</v>
          </cell>
        </row>
        <row r="147">
          <cell r="E147"/>
        </row>
        <row r="148">
          <cell r="A148">
            <v>1844400849</v>
          </cell>
          <cell r="B148" t="str">
            <v>שכונה תומכת</v>
          </cell>
          <cell r="C148">
            <v>0</v>
          </cell>
          <cell r="D148" t="e">
            <v>#DIV/0!</v>
          </cell>
          <cell r="G148">
            <v>420000</v>
          </cell>
          <cell r="H148">
            <v>420000</v>
          </cell>
        </row>
        <row r="149">
          <cell r="A149">
            <v>1344400939</v>
          </cell>
          <cell r="B149" t="str">
            <v>שכונה תומכת</v>
          </cell>
          <cell r="C149">
            <v>0</v>
          </cell>
          <cell r="F149">
            <v>0.75</v>
          </cell>
          <cell r="G149">
            <v>315000</v>
          </cell>
          <cell r="H149">
            <v>315000</v>
          </cell>
        </row>
        <row r="151">
          <cell r="A151">
            <v>1844500843</v>
          </cell>
          <cell r="B151" t="str">
            <v>מועדון מופת</v>
          </cell>
          <cell r="C151">
            <v>0</v>
          </cell>
          <cell r="D151" t="e">
            <v>#DIV/0!</v>
          </cell>
          <cell r="E151"/>
          <cell r="F151">
            <v>0.76658412671305975</v>
          </cell>
          <cell r="G151">
            <v>281076</v>
          </cell>
          <cell r="H151">
            <v>281076</v>
          </cell>
        </row>
        <row r="152">
          <cell r="A152">
            <v>1344500934</v>
          </cell>
          <cell r="B152" t="str">
            <v>מועדון מופת</v>
          </cell>
          <cell r="C152">
            <v>0</v>
          </cell>
          <cell r="E152"/>
          <cell r="G152">
            <v>215468.4</v>
          </cell>
          <cell r="H152">
            <v>215468.4</v>
          </cell>
        </row>
        <row r="154">
          <cell r="A154">
            <v>1845100846</v>
          </cell>
          <cell r="B154" t="str">
            <v>מ.יום שיקומי לאוטיסט</v>
          </cell>
          <cell r="C154">
            <v>0</v>
          </cell>
          <cell r="D154" t="e">
            <v>#DIV/0!</v>
          </cell>
          <cell r="F154">
            <v>0.66825396825396821</v>
          </cell>
          <cell r="G154">
            <v>189000</v>
          </cell>
          <cell r="H154">
            <v>189000</v>
          </cell>
        </row>
        <row r="155">
          <cell r="A155">
            <v>1345100936</v>
          </cell>
          <cell r="B155" t="str">
            <v>מ.יום שיקומי לאוטיסט</v>
          </cell>
          <cell r="C155">
            <v>0</v>
          </cell>
          <cell r="G155">
            <v>126300</v>
          </cell>
          <cell r="H155">
            <v>126300</v>
          </cell>
        </row>
        <row r="157">
          <cell r="A157">
            <v>1846100840</v>
          </cell>
          <cell r="B157" t="str">
            <v>ילדים עוורים במוסדות</v>
          </cell>
          <cell r="C157">
            <v>0</v>
          </cell>
          <cell r="D157" t="e">
            <v>#DIV/0!</v>
          </cell>
          <cell r="F157">
            <v>0.75</v>
          </cell>
          <cell r="G157">
            <v>170025.84</v>
          </cell>
          <cell r="H157">
            <v>170025.84</v>
          </cell>
        </row>
        <row r="158">
          <cell r="A158">
            <v>1346100930</v>
          </cell>
          <cell r="B158" t="str">
            <v>ילדים עוורים במוסדות</v>
          </cell>
          <cell r="C158">
            <v>0</v>
          </cell>
          <cell r="G158">
            <v>127519.38</v>
          </cell>
          <cell r="H158">
            <v>127519.38</v>
          </cell>
        </row>
        <row r="160">
          <cell r="A160">
            <v>1846400840</v>
          </cell>
          <cell r="B160" t="str">
            <v>מפעלי תעסוקה ומועדון</v>
          </cell>
          <cell r="C160">
            <v>0</v>
          </cell>
          <cell r="D160">
            <v>0.75</v>
          </cell>
          <cell r="F160" t="e">
            <v>#DIV/0!</v>
          </cell>
          <cell r="G160">
            <v>0</v>
          </cell>
          <cell r="H160">
            <v>0</v>
          </cell>
        </row>
        <row r="161">
          <cell r="A161">
            <v>1346400930</v>
          </cell>
          <cell r="B161" t="str">
            <v>מפעלי תעסוקה ומועדון</v>
          </cell>
          <cell r="C161">
            <v>0</v>
          </cell>
          <cell r="G161">
            <v>0</v>
          </cell>
          <cell r="H161">
            <v>0</v>
          </cell>
        </row>
        <row r="163">
          <cell r="A163">
            <v>1846600841</v>
          </cell>
          <cell r="B163" t="str">
            <v>תעסוקה מוגנת למוגבל</v>
          </cell>
          <cell r="C163">
            <v>0</v>
          </cell>
          <cell r="D163" t="e">
            <v>#DIV/0!</v>
          </cell>
          <cell r="G163">
            <v>223245.36</v>
          </cell>
          <cell r="H163">
            <v>223245.36</v>
          </cell>
        </row>
        <row r="164">
          <cell r="A164">
            <v>1346600931</v>
          </cell>
          <cell r="B164" t="str">
            <v>תעסוקה מוגנת למוגבל</v>
          </cell>
          <cell r="C164">
            <v>0</v>
          </cell>
          <cell r="F164">
            <v>0.75</v>
          </cell>
          <cell r="G164">
            <v>167434.01999999999</v>
          </cell>
          <cell r="H164">
            <v>167434.01999999999</v>
          </cell>
        </row>
        <row r="166">
          <cell r="A166">
            <v>1846600840</v>
          </cell>
          <cell r="B166" t="str">
            <v>מס' יום לילד המוגבל</v>
          </cell>
          <cell r="C166">
            <v>0</v>
          </cell>
          <cell r="D166" t="e">
            <v>#DIV/0!</v>
          </cell>
          <cell r="F166">
            <v>0.65</v>
          </cell>
          <cell r="G166">
            <v>95790.24</v>
          </cell>
          <cell r="H166">
            <v>95790.24</v>
          </cell>
        </row>
        <row r="167">
          <cell r="A167">
            <v>1346600930</v>
          </cell>
          <cell r="B167" t="str">
            <v>מס.יום לילד המוגבל</v>
          </cell>
          <cell r="C167">
            <v>0</v>
          </cell>
          <cell r="G167">
            <v>62263.656000000003</v>
          </cell>
          <cell r="H167">
            <v>62263.656000000003</v>
          </cell>
        </row>
        <row r="169">
          <cell r="A169">
            <v>1846700210</v>
          </cell>
          <cell r="B169" t="str">
            <v>שכ"ע מלווים הסעות</v>
          </cell>
          <cell r="C169">
            <v>0</v>
          </cell>
          <cell r="G169">
            <v>0</v>
          </cell>
          <cell r="H169">
            <v>0</v>
          </cell>
        </row>
        <row r="170">
          <cell r="A170">
            <v>1346700935</v>
          </cell>
          <cell r="B170" t="str">
            <v>ליווי למ.יום שיקומי</v>
          </cell>
          <cell r="C170">
            <v>0</v>
          </cell>
          <cell r="G170">
            <v>108000</v>
          </cell>
          <cell r="H170">
            <v>108000</v>
          </cell>
        </row>
        <row r="172">
          <cell r="A172">
            <v>1847100841</v>
          </cell>
          <cell r="B172" t="str">
            <v>טפול בנוער ובצעירים</v>
          </cell>
          <cell r="C172">
            <v>0</v>
          </cell>
          <cell r="D172" t="e">
            <v>#DIV/0!</v>
          </cell>
          <cell r="E172"/>
          <cell r="G172">
            <v>250000</v>
          </cell>
          <cell r="H172">
            <v>250000</v>
          </cell>
        </row>
        <row r="173">
          <cell r="A173">
            <v>1347100931</v>
          </cell>
          <cell r="B173" t="str">
            <v>טפול בנוער ובצעירים</v>
          </cell>
          <cell r="C173">
            <v>0</v>
          </cell>
          <cell r="E173"/>
          <cell r="F173">
            <v>0.75</v>
          </cell>
          <cell r="G173">
            <v>175470</v>
          </cell>
          <cell r="H173">
            <v>175470</v>
          </cell>
        </row>
        <row r="174">
          <cell r="A174">
            <v>1847100110</v>
          </cell>
          <cell r="B174" t="str">
            <v>שכר טיפול בנוער וצעירים</v>
          </cell>
          <cell r="E174"/>
          <cell r="G174">
            <v>0</v>
          </cell>
          <cell r="H174">
            <v>0</v>
          </cell>
        </row>
        <row r="175">
          <cell r="E175"/>
        </row>
        <row r="177">
          <cell r="A177">
            <v>1847100843</v>
          </cell>
          <cell r="B177" t="str">
            <v>טפול בנערות במצוקה</v>
          </cell>
          <cell r="C177">
            <v>0</v>
          </cell>
          <cell r="D177" t="e">
            <v>#DIV/0!</v>
          </cell>
          <cell r="F177">
            <v>0.75</v>
          </cell>
          <cell r="G177">
            <v>159860</v>
          </cell>
          <cell r="H177">
            <v>159860</v>
          </cell>
        </row>
        <row r="178">
          <cell r="A178">
            <v>1347100934</v>
          </cell>
          <cell r="B178" t="str">
            <v>בתים חמים לנערות</v>
          </cell>
          <cell r="C178">
            <v>0</v>
          </cell>
          <cell r="G178">
            <v>162270</v>
          </cell>
          <cell r="H178">
            <v>162270</v>
          </cell>
        </row>
        <row r="179">
          <cell r="A179">
            <v>1847100210</v>
          </cell>
          <cell r="B179" t="str">
            <v>שכר טיפול בנוער וצעירים זמניים</v>
          </cell>
          <cell r="G179">
            <v>0</v>
          </cell>
          <cell r="H179">
            <v>0</v>
          </cell>
        </row>
        <row r="180">
          <cell r="A180">
            <v>1347100933</v>
          </cell>
          <cell r="B180" t="str">
            <v>טפול בנערות במצוקה</v>
          </cell>
          <cell r="G180">
            <v>16000</v>
          </cell>
          <cell r="H180">
            <v>16000</v>
          </cell>
        </row>
        <row r="182">
          <cell r="A182">
            <v>1846800850</v>
          </cell>
          <cell r="B182" t="str">
            <v>בוגרים עיוורים בקהיל</v>
          </cell>
          <cell r="C182">
            <v>0</v>
          </cell>
          <cell r="D182" t="e">
            <v>#DIV/0!</v>
          </cell>
          <cell r="F182">
            <v>0.85055767801174709</v>
          </cell>
          <cell r="G182">
            <v>117515.84000000001</v>
          </cell>
          <cell r="H182">
            <v>117515.84000000001</v>
          </cell>
        </row>
        <row r="183">
          <cell r="A183">
            <v>1346800940</v>
          </cell>
          <cell r="B183" t="str">
            <v>בוגרים עיוורים בקהיל</v>
          </cell>
          <cell r="C183">
            <v>0</v>
          </cell>
          <cell r="G183">
            <v>99954</v>
          </cell>
          <cell r="H183">
            <v>99954</v>
          </cell>
        </row>
        <row r="185">
          <cell r="A185">
            <v>1846800851</v>
          </cell>
          <cell r="B185" t="str">
            <v>ילדים עיוורים בקהילה</v>
          </cell>
          <cell r="C185">
            <v>0</v>
          </cell>
          <cell r="G185">
            <v>0</v>
          </cell>
          <cell r="H185">
            <v>0</v>
          </cell>
        </row>
        <row r="188">
          <cell r="A188">
            <v>1846800844</v>
          </cell>
          <cell r="B188" t="str">
            <v>נכים קשים בקהילה</v>
          </cell>
          <cell r="C188">
            <v>0</v>
          </cell>
          <cell r="D188">
            <v>0.75</v>
          </cell>
          <cell r="F188">
            <v>0.68333333333333335</v>
          </cell>
          <cell r="G188">
            <v>27000</v>
          </cell>
          <cell r="H188">
            <v>27000</v>
          </cell>
        </row>
        <row r="189">
          <cell r="A189">
            <v>1346800934</v>
          </cell>
          <cell r="B189" t="str">
            <v>נכים קשים בקהילה</v>
          </cell>
          <cell r="C189">
            <v>0</v>
          </cell>
          <cell r="G189">
            <v>18450</v>
          </cell>
          <cell r="H189">
            <v>18450</v>
          </cell>
        </row>
        <row r="191">
          <cell r="A191">
            <v>1847100845</v>
          </cell>
          <cell r="B191" t="str">
            <v>נוער וצעיר.חוץ ביתי</v>
          </cell>
          <cell r="C191">
            <v>0</v>
          </cell>
          <cell r="D191">
            <v>0.75</v>
          </cell>
          <cell r="F191">
            <v>0.75</v>
          </cell>
          <cell r="G191">
            <v>1800</v>
          </cell>
          <cell r="H191">
            <v>1800</v>
          </cell>
        </row>
        <row r="192">
          <cell r="A192">
            <v>1347100935</v>
          </cell>
          <cell r="B192" t="str">
            <v>נוער וצעיר.חוץ ביתי</v>
          </cell>
          <cell r="C192">
            <v>0</v>
          </cell>
          <cell r="G192">
            <v>1350</v>
          </cell>
          <cell r="H192">
            <v>1350</v>
          </cell>
        </row>
        <row r="194">
          <cell r="C194">
            <v>0</v>
          </cell>
        </row>
        <row r="197">
          <cell r="A197">
            <v>1847300844</v>
          </cell>
          <cell r="B197" t="str">
            <v>טיפול באלכוהוליסטים</v>
          </cell>
          <cell r="C197" t="e">
            <v>#N/A</v>
          </cell>
          <cell r="D197" t="e">
            <v>#N/A</v>
          </cell>
        </row>
        <row r="198">
          <cell r="A198">
            <v>1347300934</v>
          </cell>
          <cell r="B198" t="str">
            <v>טפול באלכוהוליסטים</v>
          </cell>
          <cell r="C198" t="e">
            <v>#N/A</v>
          </cell>
        </row>
        <row r="200">
          <cell r="A200">
            <v>1847100851</v>
          </cell>
          <cell r="B200" t="str">
            <v>מקלטים לנערות</v>
          </cell>
          <cell r="C200" t="e">
            <v>#N/A</v>
          </cell>
          <cell r="D200" t="e">
            <v>#N/A</v>
          </cell>
        </row>
        <row r="201">
          <cell r="A201">
            <v>1347140932</v>
          </cell>
          <cell r="B201" t="str">
            <v>מקלטים לנערות</v>
          </cell>
          <cell r="C201" t="e">
            <v>#N/A</v>
          </cell>
        </row>
        <row r="203">
          <cell r="A203">
            <v>1847110842</v>
          </cell>
          <cell r="B203" t="str">
            <v>תוכנית לאומית נוער וצעירים</v>
          </cell>
          <cell r="C203">
            <v>0</v>
          </cell>
          <cell r="D203" t="e">
            <v>#DIV/0!</v>
          </cell>
          <cell r="F203">
            <v>0.9</v>
          </cell>
          <cell r="G203">
            <v>80000</v>
          </cell>
          <cell r="H203">
            <v>80000</v>
          </cell>
        </row>
        <row r="204">
          <cell r="A204">
            <v>1347100932</v>
          </cell>
          <cell r="B204" t="str">
            <v>תוכנית לאומית נוער וצעירים</v>
          </cell>
          <cell r="C204">
            <v>0</v>
          </cell>
          <cell r="G204">
            <v>72000</v>
          </cell>
          <cell r="H204">
            <v>72000</v>
          </cell>
        </row>
        <row r="206">
          <cell r="A206">
            <v>1847300842</v>
          </cell>
          <cell r="B206" t="str">
            <v>סמים-טיפול בקהילה</v>
          </cell>
          <cell r="C206" t="e">
            <v>#N/A</v>
          </cell>
          <cell r="D206">
            <v>0.75</v>
          </cell>
          <cell r="F206" t="e">
            <v>#DIV/0!</v>
          </cell>
        </row>
        <row r="207">
          <cell r="A207">
            <v>1347300932</v>
          </cell>
          <cell r="B207" t="str">
            <v>סמים-טיפול בקהילה</v>
          </cell>
          <cell r="C207" t="e">
            <v>#N/A</v>
          </cell>
        </row>
        <row r="209">
          <cell r="A209">
            <v>1847300840</v>
          </cell>
          <cell r="B209" t="str">
            <v>בדיקות למשתמשים בסמים</v>
          </cell>
          <cell r="C209">
            <v>0</v>
          </cell>
          <cell r="D209">
            <v>0.75</v>
          </cell>
          <cell r="F209">
            <v>0.75</v>
          </cell>
          <cell r="G209">
            <v>6000</v>
          </cell>
          <cell r="H209">
            <v>6000</v>
          </cell>
        </row>
        <row r="210">
          <cell r="A210">
            <v>1347300930</v>
          </cell>
          <cell r="B210" t="str">
            <v>בדיקות למשתמשים בסמים</v>
          </cell>
          <cell r="C210">
            <v>0</v>
          </cell>
          <cell r="G210">
            <v>4500</v>
          </cell>
          <cell r="H210">
            <v>4500</v>
          </cell>
        </row>
        <row r="212">
          <cell r="A212">
            <v>1847100850</v>
          </cell>
          <cell r="B212" t="str">
            <v>בית נועם</v>
          </cell>
          <cell r="C212">
            <v>0</v>
          </cell>
          <cell r="D212">
            <v>0.75</v>
          </cell>
          <cell r="F212" t="e">
            <v>#DIV/0!</v>
          </cell>
          <cell r="G212">
            <v>0</v>
          </cell>
          <cell r="H212">
            <v>0</v>
          </cell>
        </row>
        <row r="213">
          <cell r="A213">
            <v>1347140931</v>
          </cell>
          <cell r="B213" t="str">
            <v>בית נועם</v>
          </cell>
          <cell r="C213">
            <v>0</v>
          </cell>
          <cell r="G213">
            <v>0</v>
          </cell>
          <cell r="H213">
            <v>0</v>
          </cell>
        </row>
        <row r="215">
          <cell r="A215">
            <v>1847300845</v>
          </cell>
          <cell r="B215" t="str">
            <v>מ. יום לנוער-סמים</v>
          </cell>
          <cell r="C215" t="e">
            <v>#N/A</v>
          </cell>
          <cell r="D215">
            <v>0.75</v>
          </cell>
        </row>
        <row r="216">
          <cell r="A216">
            <v>1347300935</v>
          </cell>
          <cell r="B216" t="str">
            <v>מ. יום לנוער-סמים</v>
          </cell>
          <cell r="C216" t="e">
            <v>#N/A</v>
          </cell>
        </row>
        <row r="218">
          <cell r="A218">
            <v>1847400422</v>
          </cell>
          <cell r="B218" t="str">
            <v>מפת"ן-אחזקת מבנים</v>
          </cell>
          <cell r="C218">
            <v>0</v>
          </cell>
          <cell r="G218">
            <v>55000</v>
          </cell>
          <cell r="H218">
            <v>55000</v>
          </cell>
        </row>
        <row r="219">
          <cell r="A219">
            <v>1847400540</v>
          </cell>
          <cell r="B219" t="str">
            <v>בולים טלפון ומברקים</v>
          </cell>
          <cell r="C219">
            <v>0</v>
          </cell>
          <cell r="G219">
            <v>7200</v>
          </cell>
          <cell r="H219">
            <v>7200</v>
          </cell>
        </row>
        <row r="220">
          <cell r="A220">
            <v>1847400560</v>
          </cell>
          <cell r="B220" t="str">
            <v>מפת"ן-הוצ' משרדיות</v>
          </cell>
          <cell r="C220">
            <v>0</v>
          </cell>
          <cell r="G220">
            <v>4000</v>
          </cell>
          <cell r="H220">
            <v>4000</v>
          </cell>
        </row>
        <row r="221">
          <cell r="A221">
            <v>1847400720</v>
          </cell>
          <cell r="B221" t="str">
            <v>חמרים</v>
          </cell>
          <cell r="C221">
            <v>0</v>
          </cell>
          <cell r="G221">
            <v>10000</v>
          </cell>
          <cell r="H221">
            <v>10000</v>
          </cell>
        </row>
        <row r="222">
          <cell r="A222">
            <v>1847400840</v>
          </cell>
          <cell r="B222" t="str">
            <v>מפת'ן ממשלתי</v>
          </cell>
          <cell r="C222">
            <v>0</v>
          </cell>
          <cell r="G222">
            <v>0</v>
          </cell>
          <cell r="H222">
            <v>0</v>
          </cell>
        </row>
        <row r="223">
          <cell r="A223">
            <v>1847400841</v>
          </cell>
          <cell r="B223" t="str">
            <v>מפת'ן מקומי אחזקה</v>
          </cell>
          <cell r="C223">
            <v>0</v>
          </cell>
          <cell r="G223">
            <v>174112</v>
          </cell>
          <cell r="H223">
            <v>174112</v>
          </cell>
        </row>
        <row r="224">
          <cell r="A224">
            <v>1847400843</v>
          </cell>
          <cell r="B224" t="str">
            <v>פעול משלימות למפתן</v>
          </cell>
          <cell r="C224">
            <v>0</v>
          </cell>
          <cell r="G224">
            <v>40000</v>
          </cell>
          <cell r="H224">
            <v>40000</v>
          </cell>
        </row>
        <row r="225">
          <cell r="A225">
            <v>1847400845</v>
          </cell>
          <cell r="B225" t="str">
            <v>ת.מניעת אלימות במפתן</v>
          </cell>
          <cell r="C225">
            <v>0</v>
          </cell>
          <cell r="G225">
            <v>0</v>
          </cell>
          <cell r="H225">
            <v>0</v>
          </cell>
        </row>
        <row r="226">
          <cell r="A226">
            <v>1847411750</v>
          </cell>
          <cell r="B226" t="str">
            <v>נקיון מפתן</v>
          </cell>
          <cell r="C226">
            <v>0</v>
          </cell>
          <cell r="E226"/>
          <cell r="G226">
            <v>5000</v>
          </cell>
          <cell r="H226">
            <v>5000</v>
          </cell>
        </row>
        <row r="227">
          <cell r="A227">
            <v>1347400931</v>
          </cell>
          <cell r="B227" t="str">
            <v>מפת"ן מקומי אחזקה</v>
          </cell>
          <cell r="C227">
            <v>0</v>
          </cell>
          <cell r="D227" t="e">
            <v>#DIV/0!</v>
          </cell>
          <cell r="E227"/>
          <cell r="G227">
            <v>220704</v>
          </cell>
          <cell r="H227">
            <v>220704</v>
          </cell>
        </row>
        <row r="228">
          <cell r="A228">
            <v>1347400933</v>
          </cell>
          <cell r="B228" t="str">
            <v>פעול.משלימות למפתן.</v>
          </cell>
          <cell r="C228">
            <v>0</v>
          </cell>
          <cell r="D228">
            <v>0.75</v>
          </cell>
          <cell r="G228">
            <v>0</v>
          </cell>
          <cell r="H228">
            <v>0</v>
          </cell>
        </row>
        <row r="229">
          <cell r="A229">
            <v>1347400935</v>
          </cell>
          <cell r="B229" t="str">
            <v>ת.מניעת אלימות במפתן</v>
          </cell>
          <cell r="C229" t="e">
            <v>#N/A</v>
          </cell>
          <cell r="D229">
            <v>0.75</v>
          </cell>
          <cell r="G229">
            <v>0</v>
          </cell>
          <cell r="H229">
            <v>0</v>
          </cell>
        </row>
        <row r="232">
          <cell r="A232">
            <v>1847400844</v>
          </cell>
          <cell r="B232" t="str">
            <v>טיפ.בנפג.סמים-פרוי.</v>
          </cell>
          <cell r="C232">
            <v>0</v>
          </cell>
          <cell r="D232">
            <v>0.75</v>
          </cell>
          <cell r="F232" t="e">
            <v>#DIV/0!</v>
          </cell>
          <cell r="G232">
            <v>0</v>
          </cell>
          <cell r="H232">
            <v>0</v>
          </cell>
        </row>
        <row r="233">
          <cell r="A233">
            <v>1347400934</v>
          </cell>
          <cell r="B233" t="str">
            <v>טיפול בנפגעי סמים-פרויקט</v>
          </cell>
          <cell r="C233">
            <v>0</v>
          </cell>
          <cell r="G233">
            <v>0</v>
          </cell>
          <cell r="H233">
            <v>0</v>
          </cell>
        </row>
        <row r="235">
          <cell r="A235">
            <v>1847100846</v>
          </cell>
          <cell r="B235" t="str">
            <v>מ.לנפגעי תקיפה מינית</v>
          </cell>
          <cell r="C235">
            <v>0</v>
          </cell>
          <cell r="G235">
            <v>40000</v>
          </cell>
          <cell r="H235">
            <v>40000</v>
          </cell>
        </row>
        <row r="236">
          <cell r="A236">
            <v>1347100936</v>
          </cell>
          <cell r="B236" t="str">
            <v>מ. נפגעי תקיפה מינית</v>
          </cell>
          <cell r="C236">
            <v>0</v>
          </cell>
          <cell r="D236" t="e">
            <v>#DIV/0!</v>
          </cell>
          <cell r="F236">
            <v>0.75</v>
          </cell>
          <cell r="G236">
            <v>30000</v>
          </cell>
          <cell r="H236">
            <v>30000</v>
          </cell>
        </row>
        <row r="238">
          <cell r="A238">
            <v>1841000843</v>
          </cell>
          <cell r="B238" t="str">
            <v>פעולות ארגוניות</v>
          </cell>
          <cell r="C238">
            <v>0</v>
          </cell>
          <cell r="D238">
            <v>0.75</v>
          </cell>
          <cell r="F238">
            <v>0.75</v>
          </cell>
          <cell r="G238">
            <v>10000</v>
          </cell>
          <cell r="H238">
            <v>10000</v>
          </cell>
        </row>
        <row r="239">
          <cell r="A239">
            <v>1341000933</v>
          </cell>
          <cell r="B239" t="str">
            <v>פעולות ארגוניות</v>
          </cell>
          <cell r="C239">
            <v>0</v>
          </cell>
          <cell r="G239">
            <v>7500</v>
          </cell>
          <cell r="H239">
            <v>7500</v>
          </cell>
        </row>
        <row r="241">
          <cell r="A241">
            <v>1843500849</v>
          </cell>
          <cell r="B241" t="str">
            <v>טיפול בפגיעת מיניות</v>
          </cell>
          <cell r="C241">
            <v>0</v>
          </cell>
          <cell r="D241" t="e">
            <v>#DIV/0!</v>
          </cell>
          <cell r="G241">
            <v>160000</v>
          </cell>
          <cell r="H241">
            <v>160000</v>
          </cell>
        </row>
        <row r="242">
          <cell r="A242">
            <v>1343500939</v>
          </cell>
          <cell r="B242" t="str">
            <v>טיפול בפגיעת מיניות</v>
          </cell>
          <cell r="C242">
            <v>0</v>
          </cell>
          <cell r="F242">
            <v>0.75</v>
          </cell>
          <cell r="G242">
            <v>120000</v>
          </cell>
          <cell r="H242">
            <v>120000</v>
          </cell>
        </row>
        <row r="244">
          <cell r="A244">
            <v>1844400845</v>
          </cell>
          <cell r="B244" t="str">
            <v>מועדונים לזקנים</v>
          </cell>
          <cell r="C244">
            <v>0</v>
          </cell>
          <cell r="D244" t="e">
            <v>#DIV/0!</v>
          </cell>
          <cell r="G244">
            <v>30000</v>
          </cell>
          <cell r="H244">
            <v>30000</v>
          </cell>
        </row>
        <row r="245">
          <cell r="A245">
            <v>1344400935</v>
          </cell>
          <cell r="B245" t="str">
            <v>מועדונים לזקנים</v>
          </cell>
          <cell r="C245">
            <v>0</v>
          </cell>
          <cell r="F245">
            <v>0.75</v>
          </cell>
          <cell r="G245">
            <v>22500</v>
          </cell>
          <cell r="H245">
            <v>22500</v>
          </cell>
        </row>
        <row r="247">
          <cell r="A247">
            <v>1845100843</v>
          </cell>
          <cell r="B247" t="str">
            <v>טיפול בהורים ובילדיה</v>
          </cell>
          <cell r="C247">
            <v>0</v>
          </cell>
          <cell r="D247" t="e">
            <v>#DIV/0!</v>
          </cell>
          <cell r="F247">
            <v>1.1519999999999999</v>
          </cell>
          <cell r="G247">
            <v>50000</v>
          </cell>
          <cell r="H247">
            <v>50000</v>
          </cell>
        </row>
        <row r="248">
          <cell r="A248">
            <v>1345100933</v>
          </cell>
          <cell r="B248" t="str">
            <v>טיפול בהורים ובילדיה</v>
          </cell>
          <cell r="C248">
            <v>0</v>
          </cell>
          <cell r="G248">
            <v>57600</v>
          </cell>
          <cell r="H248">
            <v>57600</v>
          </cell>
        </row>
        <row r="250">
          <cell r="A250">
            <v>1845100845</v>
          </cell>
          <cell r="B250" t="str">
            <v>משפחות אומנה למפגר</v>
          </cell>
          <cell r="C250">
            <v>0</v>
          </cell>
          <cell r="D250" t="e">
            <v>#DIV/0!</v>
          </cell>
          <cell r="F250">
            <v>0.75</v>
          </cell>
          <cell r="G250">
            <v>20587.68</v>
          </cell>
          <cell r="H250">
            <v>20587.68</v>
          </cell>
        </row>
        <row r="251">
          <cell r="A251">
            <v>1345100935</v>
          </cell>
          <cell r="B251" t="str">
            <v>משפחות אומנה למפגר</v>
          </cell>
          <cell r="C251">
            <v>0</v>
          </cell>
          <cell r="G251">
            <v>15440.76</v>
          </cell>
          <cell r="H251">
            <v>15440.76</v>
          </cell>
        </row>
        <row r="253">
          <cell r="A253">
            <v>1845200846</v>
          </cell>
          <cell r="B253" t="str">
            <v>מפגרים במעון אומונ'</v>
          </cell>
          <cell r="C253">
            <v>0</v>
          </cell>
          <cell r="D253">
            <v>0.75</v>
          </cell>
          <cell r="G253">
            <v>50000</v>
          </cell>
          <cell r="H253">
            <v>50000</v>
          </cell>
        </row>
        <row r="254">
          <cell r="A254">
            <v>1345200936</v>
          </cell>
          <cell r="B254" t="str">
            <v>מפגרים במעון אמוני</v>
          </cell>
          <cell r="C254">
            <v>0</v>
          </cell>
          <cell r="F254" t="e">
            <v>#VALUE!</v>
          </cell>
          <cell r="G254" t="str">
            <v>ללא פעילות</v>
          </cell>
          <cell r="H254" t="str">
            <v>ללא פעילות</v>
          </cell>
        </row>
        <row r="256">
          <cell r="A256">
            <v>1846700846</v>
          </cell>
          <cell r="B256" t="str">
            <v>נופשונים להבראה</v>
          </cell>
          <cell r="C256">
            <v>0</v>
          </cell>
          <cell r="D256">
            <v>0.7</v>
          </cell>
          <cell r="G256">
            <v>6000</v>
          </cell>
          <cell r="H256">
            <v>6000</v>
          </cell>
        </row>
        <row r="257">
          <cell r="A257">
            <v>1346700936</v>
          </cell>
          <cell r="B257" t="str">
            <v>נופשונים להבראה</v>
          </cell>
          <cell r="C257">
            <v>0</v>
          </cell>
          <cell r="F257">
            <v>0.75</v>
          </cell>
          <cell r="G257">
            <v>4500</v>
          </cell>
          <cell r="H257">
            <v>4500</v>
          </cell>
        </row>
        <row r="259">
          <cell r="A259">
            <v>1845300841</v>
          </cell>
          <cell r="B259" t="str">
            <v>נופשונים למפגר</v>
          </cell>
          <cell r="C259">
            <v>0</v>
          </cell>
          <cell r="D259" t="e">
            <v>#DIV/0!</v>
          </cell>
          <cell r="G259">
            <v>28400</v>
          </cell>
          <cell r="H259">
            <v>28400</v>
          </cell>
        </row>
        <row r="260">
          <cell r="A260">
            <v>1345300931</v>
          </cell>
          <cell r="B260" t="str">
            <v>נופשונים למפגר</v>
          </cell>
          <cell r="C260">
            <v>0</v>
          </cell>
          <cell r="F260">
            <v>0.75</v>
          </cell>
          <cell r="G260">
            <v>21300</v>
          </cell>
          <cell r="H260">
            <v>21300</v>
          </cell>
        </row>
        <row r="262">
          <cell r="A262">
            <v>1845300848</v>
          </cell>
          <cell r="B262" t="str">
            <v>מועדונים חברת.למפגר</v>
          </cell>
          <cell r="C262">
            <v>0</v>
          </cell>
          <cell r="D262" t="e">
            <v>#DIV/0!</v>
          </cell>
          <cell r="G262">
            <v>62607.600000000006</v>
          </cell>
          <cell r="H262">
            <v>62607.600000000006</v>
          </cell>
        </row>
        <row r="263">
          <cell r="A263">
            <v>1345300938</v>
          </cell>
          <cell r="B263" t="str">
            <v>מועדונים חברת.למפגר</v>
          </cell>
          <cell r="C263">
            <v>0</v>
          </cell>
          <cell r="F263">
            <v>0.75</v>
          </cell>
          <cell r="G263">
            <v>46955.700000000004</v>
          </cell>
          <cell r="H263">
            <v>46955.700000000004</v>
          </cell>
        </row>
        <row r="265">
          <cell r="A265">
            <v>1845100847</v>
          </cell>
          <cell r="B265" t="str">
            <v>סביבה תומכת</v>
          </cell>
          <cell r="C265">
            <v>0</v>
          </cell>
          <cell r="D265">
            <v>0.75</v>
          </cell>
          <cell r="G265">
            <v>0</v>
          </cell>
          <cell r="H265">
            <v>0</v>
          </cell>
        </row>
        <row r="266">
          <cell r="A266">
            <v>1345100937</v>
          </cell>
          <cell r="B266" t="str">
            <v>סביבה תומכת</v>
          </cell>
          <cell r="C266">
            <v>0</v>
          </cell>
          <cell r="G266">
            <v>0</v>
          </cell>
          <cell r="H266">
            <v>0</v>
          </cell>
        </row>
        <row r="268">
          <cell r="A268">
            <v>1846300841</v>
          </cell>
          <cell r="B268" t="str">
            <v>הדרכת עוור ובני ביתו</v>
          </cell>
          <cell r="C268">
            <v>0</v>
          </cell>
          <cell r="D268" t="e">
            <v>#DIV/0!</v>
          </cell>
          <cell r="G268">
            <v>60000</v>
          </cell>
          <cell r="H268">
            <v>60000</v>
          </cell>
        </row>
        <row r="269">
          <cell r="A269">
            <v>1346300931</v>
          </cell>
          <cell r="B269" t="str">
            <v>הדרכת עוור ובני ביתו</v>
          </cell>
          <cell r="C269">
            <v>0</v>
          </cell>
          <cell r="F269">
            <v>0.75</v>
          </cell>
          <cell r="G269">
            <v>45000</v>
          </cell>
          <cell r="H269">
            <v>45000</v>
          </cell>
        </row>
        <row r="271">
          <cell r="A271">
            <v>1846300843</v>
          </cell>
          <cell r="B271" t="str">
            <v>שיקום העוור בקהילה</v>
          </cell>
          <cell r="C271">
            <v>0</v>
          </cell>
          <cell r="D271" t="e">
            <v>#DIV/0!</v>
          </cell>
          <cell r="G271">
            <v>8400</v>
          </cell>
          <cell r="H271">
            <v>8400</v>
          </cell>
        </row>
        <row r="272">
          <cell r="A272">
            <v>1346300933</v>
          </cell>
          <cell r="B272" t="str">
            <v>שיקום העוור בקהילה</v>
          </cell>
          <cell r="C272">
            <v>0</v>
          </cell>
          <cell r="F272">
            <v>0.75</v>
          </cell>
          <cell r="G272">
            <v>6300</v>
          </cell>
          <cell r="H272">
            <v>6300</v>
          </cell>
        </row>
        <row r="274">
          <cell r="A274">
            <v>1842400845</v>
          </cell>
          <cell r="B274" t="str">
            <v>מרכזי טיפול באלימות</v>
          </cell>
          <cell r="C274">
            <v>0</v>
          </cell>
          <cell r="D274" t="e">
            <v>#DIV/0!</v>
          </cell>
          <cell r="F274">
            <v>1.2</v>
          </cell>
          <cell r="G274">
            <v>90000</v>
          </cell>
          <cell r="H274">
            <v>90000</v>
          </cell>
        </row>
        <row r="275">
          <cell r="A275">
            <v>1342400935</v>
          </cell>
          <cell r="B275" t="str">
            <v>מרכזי טיפול באלימות</v>
          </cell>
          <cell r="C275">
            <v>0</v>
          </cell>
          <cell r="G275">
            <v>108000</v>
          </cell>
          <cell r="H275">
            <v>108000</v>
          </cell>
        </row>
        <row r="277">
          <cell r="A277">
            <v>1842400844</v>
          </cell>
          <cell r="B277" t="str">
            <v>מרכזי טיפול במשפחה</v>
          </cell>
          <cell r="C277">
            <v>0</v>
          </cell>
          <cell r="G277">
            <v>85000</v>
          </cell>
          <cell r="H277">
            <v>85000</v>
          </cell>
        </row>
        <row r="280">
          <cell r="A280">
            <v>1842400841</v>
          </cell>
          <cell r="B280" t="str">
            <v>תחנות לטיפול במשפחה</v>
          </cell>
          <cell r="C280">
            <v>0</v>
          </cell>
          <cell r="D280">
            <v>0.75</v>
          </cell>
          <cell r="F280">
            <v>0.75</v>
          </cell>
          <cell r="G280">
            <v>40000</v>
          </cell>
          <cell r="H280">
            <v>40000</v>
          </cell>
        </row>
        <row r="281">
          <cell r="A281">
            <v>1342400931</v>
          </cell>
          <cell r="B281" t="str">
            <v>תחנות לטיפול במשפחה</v>
          </cell>
          <cell r="C281">
            <v>0</v>
          </cell>
          <cell r="G281">
            <v>30000</v>
          </cell>
          <cell r="H281">
            <v>30000</v>
          </cell>
        </row>
        <row r="283">
          <cell r="A283">
            <v>1843500847</v>
          </cell>
          <cell r="B283" t="str">
            <v>יצירת קשר הורים-ילדים</v>
          </cell>
          <cell r="C283">
            <v>0</v>
          </cell>
          <cell r="D283" t="e">
            <v>#DIV/0!</v>
          </cell>
          <cell r="F283">
            <v>1.5</v>
          </cell>
          <cell r="G283">
            <v>20000</v>
          </cell>
          <cell r="H283">
            <v>20000</v>
          </cell>
        </row>
        <row r="284">
          <cell r="A284">
            <v>1343500937</v>
          </cell>
          <cell r="B284" t="str">
            <v>יצירת קשר הורים-ילדים</v>
          </cell>
          <cell r="C284">
            <v>0</v>
          </cell>
          <cell r="G284">
            <v>30000</v>
          </cell>
          <cell r="H284">
            <v>30000</v>
          </cell>
        </row>
        <row r="286">
          <cell r="A286">
            <v>1842200844</v>
          </cell>
          <cell r="B286" t="str">
            <v>מס.ארציות לדרי רחוב</v>
          </cell>
          <cell r="C286">
            <v>0</v>
          </cell>
          <cell r="D286" t="e">
            <v>#DIV/0!</v>
          </cell>
          <cell r="F286">
            <v>0.75</v>
          </cell>
          <cell r="G286">
            <v>188006.40000000002</v>
          </cell>
          <cell r="H286">
            <v>188006.40000000002</v>
          </cell>
        </row>
        <row r="287">
          <cell r="A287">
            <v>1342200934</v>
          </cell>
          <cell r="B287" t="str">
            <v>מס. ארציות לדרי רחוב</v>
          </cell>
          <cell r="C287">
            <v>0</v>
          </cell>
          <cell r="G287">
            <v>141004.80000000002</v>
          </cell>
          <cell r="H287">
            <v>141004.80000000002</v>
          </cell>
        </row>
        <row r="289">
          <cell r="A289">
            <v>1846700840</v>
          </cell>
          <cell r="B289" t="str">
            <v>תוכניות לילד החריג</v>
          </cell>
          <cell r="C289">
            <v>0</v>
          </cell>
          <cell r="D289" t="e">
            <v>#DIV/0!</v>
          </cell>
          <cell r="F289">
            <v>0.75</v>
          </cell>
          <cell r="G289">
            <v>10000</v>
          </cell>
          <cell r="H289">
            <v>10000</v>
          </cell>
        </row>
        <row r="290">
          <cell r="A290">
            <v>1346700930</v>
          </cell>
          <cell r="B290" t="str">
            <v>תוכניות ילדים_החריגים</v>
          </cell>
          <cell r="C290">
            <v>0</v>
          </cell>
          <cell r="G290">
            <v>7500</v>
          </cell>
          <cell r="H290">
            <v>7500</v>
          </cell>
        </row>
        <row r="292">
          <cell r="A292">
            <v>1846700847</v>
          </cell>
          <cell r="B292" t="str">
            <v>תכנית מעבר לחרשים</v>
          </cell>
          <cell r="C292" t="e">
            <v>#N/A</v>
          </cell>
          <cell r="D292" t="e">
            <v>#N/A</v>
          </cell>
        </row>
        <row r="293">
          <cell r="A293">
            <v>1346700937</v>
          </cell>
          <cell r="B293" t="str">
            <v>תכנית מעבר לחרשים</v>
          </cell>
          <cell r="C293" t="e">
            <v>#N/A</v>
          </cell>
        </row>
        <row r="295">
          <cell r="A295">
            <v>1846700848</v>
          </cell>
          <cell r="B295" t="str">
            <v>תעסוקה נתמכת לנכים</v>
          </cell>
          <cell r="C295">
            <v>0</v>
          </cell>
          <cell r="D295" t="e">
            <v>#DIV/0!</v>
          </cell>
          <cell r="G295">
            <v>107846.63999999998</v>
          </cell>
          <cell r="H295">
            <v>107846.63999999998</v>
          </cell>
        </row>
        <row r="296">
          <cell r="A296">
            <v>1346700938</v>
          </cell>
          <cell r="B296" t="str">
            <v>תעסוקה נתמכת לנכים</v>
          </cell>
          <cell r="C296">
            <v>0</v>
          </cell>
          <cell r="F296">
            <v>0.74999999999999989</v>
          </cell>
          <cell r="G296">
            <v>80884.979999999981</v>
          </cell>
          <cell r="H296">
            <v>80884.979999999981</v>
          </cell>
        </row>
        <row r="298">
          <cell r="A298">
            <v>1846800842</v>
          </cell>
          <cell r="B298" t="str">
            <v>שיקום נכים בקהילה</v>
          </cell>
          <cell r="C298">
            <v>0</v>
          </cell>
          <cell r="D298" t="e">
            <v>#DIV/0!</v>
          </cell>
          <cell r="G298">
            <v>18000</v>
          </cell>
          <cell r="H298">
            <v>18000</v>
          </cell>
        </row>
        <row r="299">
          <cell r="A299">
            <v>1346800932</v>
          </cell>
          <cell r="B299" t="str">
            <v>שיקום נכים בקהילה</v>
          </cell>
          <cell r="C299">
            <v>0</v>
          </cell>
          <cell r="F299">
            <v>3</v>
          </cell>
          <cell r="G299">
            <v>54000</v>
          </cell>
          <cell r="H299">
            <v>54000</v>
          </cell>
        </row>
        <row r="301">
          <cell r="A301">
            <v>1848200841</v>
          </cell>
          <cell r="B301" t="str">
            <v>עבודה  קהילתית</v>
          </cell>
          <cell r="C301">
            <v>0</v>
          </cell>
          <cell r="D301">
            <v>0.75</v>
          </cell>
          <cell r="G301">
            <v>25000</v>
          </cell>
          <cell r="H301">
            <v>25000</v>
          </cell>
        </row>
        <row r="302">
          <cell r="A302">
            <v>1348200931</v>
          </cell>
          <cell r="B302" t="str">
            <v>עבודה קהילתית</v>
          </cell>
          <cell r="C302">
            <v>0</v>
          </cell>
          <cell r="G302">
            <v>18750</v>
          </cell>
          <cell r="H302">
            <v>18750</v>
          </cell>
        </row>
        <row r="303">
          <cell r="D303"/>
        </row>
        <row r="304">
          <cell r="A304">
            <v>1848300840</v>
          </cell>
          <cell r="B304" t="str">
            <v>התנדבות פעולות</v>
          </cell>
          <cell r="C304">
            <v>0</v>
          </cell>
          <cell r="D304" t="e">
            <v>#DIV/0!</v>
          </cell>
          <cell r="F304">
            <v>1.875</v>
          </cell>
          <cell r="G304">
            <v>20000</v>
          </cell>
          <cell r="H304">
            <v>20000</v>
          </cell>
        </row>
        <row r="305">
          <cell r="A305">
            <v>1348300930</v>
          </cell>
          <cell r="B305" t="str">
            <v>התנדבות-פעולות</v>
          </cell>
          <cell r="C305">
            <v>0</v>
          </cell>
          <cell r="G305">
            <v>37500</v>
          </cell>
          <cell r="H305">
            <v>37500</v>
          </cell>
        </row>
        <row r="307">
          <cell r="A307">
            <v>1848400840</v>
          </cell>
          <cell r="B307" t="str">
            <v>לשכות יעוץ לאזרח</v>
          </cell>
          <cell r="C307">
            <v>0</v>
          </cell>
          <cell r="D307">
            <v>0.75</v>
          </cell>
          <cell r="G307">
            <v>2000</v>
          </cell>
          <cell r="H307">
            <v>2000</v>
          </cell>
        </row>
        <row r="308">
          <cell r="A308">
            <v>1348400930</v>
          </cell>
          <cell r="B308" t="str">
            <v>לשכות יעוץ לאזרח</v>
          </cell>
          <cell r="C308">
            <v>0</v>
          </cell>
          <cell r="G308">
            <v>1500</v>
          </cell>
          <cell r="H308">
            <v>1500</v>
          </cell>
        </row>
        <row r="310">
          <cell r="A310">
            <v>1848500840</v>
          </cell>
          <cell r="B310" t="str">
            <v>שיקום שכונות-פעולות</v>
          </cell>
          <cell r="C310">
            <v>0</v>
          </cell>
          <cell r="D310">
            <v>0.75</v>
          </cell>
          <cell r="F310">
            <v>0.75</v>
          </cell>
          <cell r="G310">
            <v>50000</v>
          </cell>
          <cell r="H310">
            <v>50000</v>
          </cell>
        </row>
        <row r="311">
          <cell r="A311">
            <v>1348500932</v>
          </cell>
          <cell r="B311" t="str">
            <v>שיקום שכונות-פעולות</v>
          </cell>
          <cell r="C311">
            <v>0</v>
          </cell>
          <cell r="G311">
            <v>37500</v>
          </cell>
          <cell r="H311">
            <v>37500</v>
          </cell>
        </row>
        <row r="313">
          <cell r="A313">
            <v>1848800780</v>
          </cell>
          <cell r="B313" t="str">
            <v>שקום שכונות השכלה גבוה</v>
          </cell>
          <cell r="C313">
            <v>0</v>
          </cell>
          <cell r="G313">
            <v>30000</v>
          </cell>
          <cell r="H313">
            <v>30000</v>
          </cell>
        </row>
        <row r="315">
          <cell r="A315">
            <v>1849000840</v>
          </cell>
          <cell r="B315" t="str">
            <v>מ.יום טפולי עולים</v>
          </cell>
          <cell r="C315">
            <v>0</v>
          </cell>
          <cell r="D315" t="e">
            <v>#DIV/0!</v>
          </cell>
          <cell r="G315">
            <v>21346.560000000001</v>
          </cell>
          <cell r="H315">
            <v>21346.560000000001</v>
          </cell>
        </row>
        <row r="316">
          <cell r="A316">
            <v>1349000930</v>
          </cell>
          <cell r="B316" t="str">
            <v>מ.יום טפולי-עולים</v>
          </cell>
          <cell r="C316">
            <v>0</v>
          </cell>
          <cell r="G316">
            <v>16009.920000000002</v>
          </cell>
          <cell r="H316">
            <v>16009.920000000002</v>
          </cell>
        </row>
        <row r="318">
          <cell r="A318">
            <v>1849000841</v>
          </cell>
          <cell r="B318" t="str">
            <v>מעונות יום עולים</v>
          </cell>
          <cell r="C318" t="e">
            <v>#N/A</v>
          </cell>
          <cell r="D318">
            <v>0.75</v>
          </cell>
        </row>
        <row r="319">
          <cell r="A319">
            <v>1349000931</v>
          </cell>
          <cell r="B319" t="str">
            <v>מעונות יום--עולים</v>
          </cell>
          <cell r="C319" t="e">
            <v>#N/A</v>
          </cell>
        </row>
        <row r="321">
          <cell r="A321">
            <v>1849000842</v>
          </cell>
          <cell r="B321" t="str">
            <v>מעש"ים עולים</v>
          </cell>
          <cell r="C321">
            <v>0</v>
          </cell>
          <cell r="D321" t="e">
            <v>#DIV/0!</v>
          </cell>
          <cell r="F321">
            <v>0.65037126605129603</v>
          </cell>
          <cell r="G321">
            <v>21138.48</v>
          </cell>
          <cell r="H321">
            <v>21138.48</v>
          </cell>
        </row>
        <row r="322">
          <cell r="A322">
            <v>1349000932</v>
          </cell>
          <cell r="B322" t="str">
            <v>מעש"ים-עולים</v>
          </cell>
          <cell r="C322">
            <v>0</v>
          </cell>
          <cell r="G322">
            <v>13747.86</v>
          </cell>
          <cell r="H322">
            <v>13747.86</v>
          </cell>
        </row>
        <row r="324">
          <cell r="A324">
            <v>1849000851</v>
          </cell>
          <cell r="B324" t="str">
            <v>מפגר בפנימיה עולים</v>
          </cell>
          <cell r="C324">
            <v>0</v>
          </cell>
          <cell r="D324" t="e">
            <v>#DIV/0!</v>
          </cell>
          <cell r="F324">
            <v>0.75</v>
          </cell>
          <cell r="G324">
            <v>180846</v>
          </cell>
          <cell r="H324">
            <v>180846</v>
          </cell>
        </row>
        <row r="325">
          <cell r="A325">
            <v>1349000941</v>
          </cell>
          <cell r="B325" t="str">
            <v>מפגר בפנימיה-עולים</v>
          </cell>
          <cell r="C325">
            <v>0</v>
          </cell>
          <cell r="G325">
            <v>135634.5</v>
          </cell>
          <cell r="H325">
            <v>135634.5</v>
          </cell>
        </row>
        <row r="327">
          <cell r="A327">
            <v>1849000845</v>
          </cell>
          <cell r="B327" t="str">
            <v>טיפול בזקנים עולים</v>
          </cell>
          <cell r="C327">
            <v>0</v>
          </cell>
          <cell r="D327" t="e">
            <v>#DIV/0!</v>
          </cell>
          <cell r="F327">
            <v>0.67500000000000004</v>
          </cell>
          <cell r="G327">
            <v>75000</v>
          </cell>
          <cell r="H327">
            <v>75000</v>
          </cell>
        </row>
        <row r="328">
          <cell r="A328">
            <v>1349000935</v>
          </cell>
          <cell r="B328" t="str">
            <v>טיפול בזקנים-עולים</v>
          </cell>
          <cell r="C328">
            <v>0</v>
          </cell>
          <cell r="G328">
            <v>50625</v>
          </cell>
          <cell r="H328">
            <v>50625</v>
          </cell>
        </row>
        <row r="330">
          <cell r="A330">
            <v>1849001847</v>
          </cell>
          <cell r="B330" t="str">
            <v>ילדים במצוקה עולים</v>
          </cell>
          <cell r="C330">
            <v>0</v>
          </cell>
          <cell r="D330" t="e">
            <v>#DIV/0!</v>
          </cell>
          <cell r="F330">
            <v>0.75</v>
          </cell>
          <cell r="G330">
            <v>20000</v>
          </cell>
          <cell r="H330">
            <v>20000</v>
          </cell>
        </row>
        <row r="331">
          <cell r="A331">
            <v>1349001937</v>
          </cell>
          <cell r="B331" t="str">
            <v>ילדים במצוקה עולים</v>
          </cell>
          <cell r="C331">
            <v>0</v>
          </cell>
          <cell r="G331">
            <v>15000</v>
          </cell>
          <cell r="H331">
            <v>15000</v>
          </cell>
        </row>
        <row r="333">
          <cell r="A333">
            <v>1849001849</v>
          </cell>
          <cell r="B333" t="str">
            <v>משפחות עולים במצוקה</v>
          </cell>
          <cell r="C333">
            <v>0</v>
          </cell>
          <cell r="D333" t="e">
            <v>#DIV/0!</v>
          </cell>
          <cell r="F333">
            <v>0.75</v>
          </cell>
          <cell r="G333">
            <v>21000</v>
          </cell>
          <cell r="H333">
            <v>21000</v>
          </cell>
        </row>
        <row r="334">
          <cell r="A334">
            <v>1349001939</v>
          </cell>
          <cell r="B334" t="str">
            <v>משפחות עולים במצוקה</v>
          </cell>
          <cell r="C334">
            <v>0</v>
          </cell>
          <cell r="G334">
            <v>15750</v>
          </cell>
          <cell r="H334">
            <v>15750</v>
          </cell>
        </row>
        <row r="336">
          <cell r="A336">
            <v>1849002849</v>
          </cell>
          <cell r="B336" t="str">
            <v>טיפול בעוורים עולים</v>
          </cell>
          <cell r="C336">
            <v>0</v>
          </cell>
          <cell r="D336" t="e">
            <v>#DIV/0!</v>
          </cell>
          <cell r="G336">
            <v>0</v>
          </cell>
          <cell r="H336">
            <v>0</v>
          </cell>
        </row>
        <row r="337">
          <cell r="A337">
            <v>1349002939</v>
          </cell>
          <cell r="B337" t="str">
            <v>טיפול בעיוורים עולים</v>
          </cell>
          <cell r="C337">
            <v>0</v>
          </cell>
          <cell r="G337">
            <v>0</v>
          </cell>
          <cell r="H337">
            <v>0</v>
          </cell>
        </row>
        <row r="339">
          <cell r="A339">
            <v>1849000846</v>
          </cell>
          <cell r="B339" t="str">
            <v>תוכ. קבוצ. וקהילה עולים</v>
          </cell>
          <cell r="C339">
            <v>0</v>
          </cell>
          <cell r="G339">
            <v>0</v>
          </cell>
          <cell r="H339">
            <v>0</v>
          </cell>
        </row>
        <row r="340">
          <cell r="A340">
            <v>1340000440</v>
          </cell>
          <cell r="B340" t="str">
            <v>השתת.גרעין אומץ בפרוייקט התוכנית הלאומית דוח שמיד</v>
          </cell>
          <cell r="C340" t="e">
            <v>#N/A</v>
          </cell>
        </row>
        <row r="341">
          <cell r="A341">
            <v>1340000920</v>
          </cell>
          <cell r="B341" t="str">
            <v>משרדי ממשלה-רווחה  תוכנית לאומית דוח שמיד</v>
          </cell>
          <cell r="C341" t="e">
            <v>#N/A</v>
          </cell>
        </row>
        <row r="343">
          <cell r="A343">
            <v>1845100848</v>
          </cell>
          <cell r="B343" t="str">
            <v>מ.יום ותעסוקה לבוגרים</v>
          </cell>
          <cell r="C343">
            <v>0</v>
          </cell>
          <cell r="D343">
            <v>0.71</v>
          </cell>
          <cell r="F343">
            <v>0.71</v>
          </cell>
          <cell r="G343">
            <v>106390.08</v>
          </cell>
          <cell r="H343">
            <v>106390.08</v>
          </cell>
        </row>
        <row r="344">
          <cell r="A344">
            <v>1345100938</v>
          </cell>
          <cell r="B344" t="str">
            <v>מ.יום ותעסוקה לבוגרים</v>
          </cell>
          <cell r="C344">
            <v>0</v>
          </cell>
          <cell r="G344">
            <v>75536.9568</v>
          </cell>
          <cell r="H344">
            <v>75536.9568</v>
          </cell>
        </row>
        <row r="347">
          <cell r="A347">
            <v>1343523410</v>
          </cell>
          <cell r="B347" t="str">
            <v>שרותים תומכים למפגר</v>
          </cell>
          <cell r="C347">
            <v>0</v>
          </cell>
          <cell r="G347">
            <v>157000</v>
          </cell>
          <cell r="H347">
            <v>157000</v>
          </cell>
        </row>
        <row r="348">
          <cell r="A348">
            <v>1345523410</v>
          </cell>
          <cell r="B348" t="str">
            <v>שרותים תומכים למפגר</v>
          </cell>
          <cell r="C348">
            <v>0</v>
          </cell>
          <cell r="G348">
            <v>31500</v>
          </cell>
          <cell r="H348">
            <v>31500</v>
          </cell>
        </row>
        <row r="349">
          <cell r="A349">
            <v>1345300936</v>
          </cell>
          <cell r="B349" t="str">
            <v>שירותים תומכים למפגר</v>
          </cell>
          <cell r="C349">
            <v>0</v>
          </cell>
          <cell r="D349">
            <v>0.75</v>
          </cell>
          <cell r="G349">
            <v>57600</v>
          </cell>
          <cell r="H349">
            <v>57600</v>
          </cell>
        </row>
        <row r="350">
          <cell r="A350">
            <v>1845300846</v>
          </cell>
          <cell r="B350" t="str">
            <v>שרותים תומכים למפגר</v>
          </cell>
          <cell r="C350">
            <v>0</v>
          </cell>
          <cell r="G350">
            <v>23916.959999999999</v>
          </cell>
          <cell r="H350">
            <v>23916.959999999999</v>
          </cell>
        </row>
        <row r="352">
          <cell r="A352">
            <v>1347300936</v>
          </cell>
          <cell r="B352" t="str">
            <v>התמכרויות-מבוגרים</v>
          </cell>
          <cell r="C352">
            <v>0</v>
          </cell>
          <cell r="D352" t="e">
            <v>#DIV/0!</v>
          </cell>
          <cell r="F352">
            <v>0.75</v>
          </cell>
          <cell r="G352">
            <v>150873.30000000002</v>
          </cell>
          <cell r="H352">
            <v>150873.30000000002</v>
          </cell>
        </row>
        <row r="353">
          <cell r="A353">
            <v>1847300846</v>
          </cell>
          <cell r="B353" t="str">
            <v>התמכרויות-מבוגרים</v>
          </cell>
          <cell r="C353">
            <v>0</v>
          </cell>
          <cell r="G353">
            <v>201164.40000000002</v>
          </cell>
          <cell r="H353">
            <v>201164.40000000002</v>
          </cell>
        </row>
        <row r="355">
          <cell r="A355">
            <v>1848200847</v>
          </cell>
          <cell r="B355" t="str">
            <v>קהילות פונקציונליות</v>
          </cell>
          <cell r="C355">
            <v>0</v>
          </cell>
          <cell r="F355">
            <v>0.75</v>
          </cell>
          <cell r="G355">
            <v>11000</v>
          </cell>
          <cell r="H355">
            <v>11000</v>
          </cell>
        </row>
        <row r="356">
          <cell r="A356">
            <v>1348200937</v>
          </cell>
          <cell r="B356" t="str">
            <v>קהילות פונקציונליות</v>
          </cell>
          <cell r="C356">
            <v>0</v>
          </cell>
          <cell r="D356">
            <v>0.75</v>
          </cell>
          <cell r="G356">
            <v>8250</v>
          </cell>
          <cell r="H356">
            <v>8250</v>
          </cell>
        </row>
        <row r="358">
          <cell r="A358">
            <v>1848801750</v>
          </cell>
          <cell r="B358" t="str">
            <v>פעולות חוסן העמותה לילדים בסיכון</v>
          </cell>
          <cell r="C358">
            <v>0</v>
          </cell>
          <cell r="G358">
            <v>30000</v>
          </cell>
          <cell r="H358">
            <v>30000</v>
          </cell>
        </row>
        <row r="359">
          <cell r="B359" t="str">
            <v>פעולות התנדבות</v>
          </cell>
        </row>
        <row r="361">
          <cell r="A361">
            <v>1846700841</v>
          </cell>
          <cell r="B361" t="str">
            <v>תכנית מעבר</v>
          </cell>
          <cell r="C361">
            <v>0</v>
          </cell>
          <cell r="D361">
            <v>0.75</v>
          </cell>
          <cell r="G361">
            <v>13170.24</v>
          </cell>
          <cell r="H361">
            <v>13170.24</v>
          </cell>
        </row>
        <row r="362">
          <cell r="A362">
            <v>1346700931</v>
          </cell>
          <cell r="B362" t="str">
            <v>תכנית מעבר</v>
          </cell>
          <cell r="C362">
            <v>0</v>
          </cell>
          <cell r="G362">
            <v>9877.68</v>
          </cell>
          <cell r="H362">
            <v>9877.68</v>
          </cell>
        </row>
        <row r="364">
          <cell r="A364">
            <v>1345100939</v>
          </cell>
          <cell r="B364" t="str">
            <v>הסעות לאוטיסטים</v>
          </cell>
          <cell r="C364">
            <v>0</v>
          </cell>
          <cell r="D364" t="e">
            <v>#DIV/0!</v>
          </cell>
          <cell r="F364">
            <v>0.75</v>
          </cell>
          <cell r="G364">
            <v>15750</v>
          </cell>
          <cell r="H364">
            <v>15750</v>
          </cell>
        </row>
        <row r="365">
          <cell r="A365">
            <v>1845100849</v>
          </cell>
          <cell r="B365" t="str">
            <v>הסעות לאוטיסטים</v>
          </cell>
          <cell r="C365">
            <v>0</v>
          </cell>
          <cell r="G365">
            <v>21000</v>
          </cell>
          <cell r="H365">
            <v>21000</v>
          </cell>
        </row>
        <row r="367">
          <cell r="A367">
            <v>1845100844</v>
          </cell>
          <cell r="B367" t="str">
            <v>נופשונים וקייטנות</v>
          </cell>
          <cell r="C367">
            <v>0</v>
          </cell>
          <cell r="D367">
            <v>0.7</v>
          </cell>
          <cell r="F367">
            <v>0.75</v>
          </cell>
          <cell r="G367">
            <v>10000</v>
          </cell>
          <cell r="H367">
            <v>10000</v>
          </cell>
        </row>
        <row r="368">
          <cell r="A368">
            <v>1345100934</v>
          </cell>
          <cell r="B368" t="str">
            <v>נופשונים וקייטנות</v>
          </cell>
          <cell r="C368">
            <v>0</v>
          </cell>
          <cell r="G368">
            <v>7500</v>
          </cell>
          <cell r="H368">
            <v>7500</v>
          </cell>
        </row>
        <row r="371">
          <cell r="A371">
            <v>1847100852</v>
          </cell>
          <cell r="B371" t="str">
            <v>פרוייקט וינגייט</v>
          </cell>
          <cell r="C371">
            <v>0</v>
          </cell>
          <cell r="D371">
            <v>0.75</v>
          </cell>
          <cell r="G371">
            <v>0</v>
          </cell>
          <cell r="H371">
            <v>0</v>
          </cell>
        </row>
        <row r="372">
          <cell r="A372">
            <v>1347100940</v>
          </cell>
          <cell r="B372" t="str">
            <v>פרוייקט וינגייט</v>
          </cell>
          <cell r="C372">
            <v>0</v>
          </cell>
          <cell r="G372">
            <v>0</v>
          </cell>
          <cell r="H372">
            <v>0</v>
          </cell>
        </row>
        <row r="374">
          <cell r="A374">
            <v>1844400846</v>
          </cell>
          <cell r="B374" t="str">
            <v>מיגון וציוד ביתי</v>
          </cell>
          <cell r="C374">
            <v>0</v>
          </cell>
          <cell r="G374">
            <v>0</v>
          </cell>
          <cell r="H374">
            <v>0</v>
          </cell>
        </row>
        <row r="375">
          <cell r="A375">
            <v>1344400936</v>
          </cell>
          <cell r="B375" t="str">
            <v>מיגון וציוד ביתי</v>
          </cell>
          <cell r="C375">
            <v>0</v>
          </cell>
          <cell r="G375">
            <v>0</v>
          </cell>
          <cell r="H375">
            <v>0</v>
          </cell>
        </row>
        <row r="376">
          <cell r="A376"/>
          <cell r="B376"/>
          <cell r="C376"/>
          <cell r="D376"/>
          <cell r="E376"/>
          <cell r="F376"/>
          <cell r="G376"/>
        </row>
        <row r="377">
          <cell r="A377"/>
          <cell r="B377"/>
          <cell r="C377"/>
          <cell r="D377"/>
          <cell r="E377"/>
          <cell r="F377"/>
          <cell r="G377"/>
        </row>
        <row r="378">
          <cell r="A378">
            <v>1346800941</v>
          </cell>
          <cell r="B378" t="str">
            <v>ילדים עיוורים בקהילה</v>
          </cell>
          <cell r="C378">
            <v>0</v>
          </cell>
          <cell r="D378">
            <v>0.74</v>
          </cell>
          <cell r="E378"/>
          <cell r="F378"/>
          <cell r="G378">
            <v>0</v>
          </cell>
          <cell r="H378">
            <v>0</v>
          </cell>
        </row>
        <row r="379">
          <cell r="A379">
            <v>1846800851</v>
          </cell>
          <cell r="B379" t="str">
            <v>ילדים עיוורים בקהילה</v>
          </cell>
          <cell r="C379">
            <v>0</v>
          </cell>
          <cell r="D379"/>
          <cell r="E379"/>
          <cell r="F379"/>
          <cell r="G379">
            <v>0</v>
          </cell>
          <cell r="H379">
            <v>0</v>
          </cell>
        </row>
        <row r="380">
          <cell r="A380"/>
          <cell r="B380"/>
          <cell r="C380"/>
          <cell r="D380"/>
          <cell r="E380"/>
          <cell r="F380"/>
          <cell r="G380"/>
        </row>
        <row r="381">
          <cell r="A381">
            <v>1344300932</v>
          </cell>
          <cell r="B381" t="str">
            <v>נופשון לזקן</v>
          </cell>
          <cell r="C381">
            <v>0</v>
          </cell>
          <cell r="D381"/>
          <cell r="E381"/>
          <cell r="F381"/>
          <cell r="G381">
            <v>0</v>
          </cell>
          <cell r="H381">
            <v>0</v>
          </cell>
        </row>
        <row r="382">
          <cell r="A382">
            <v>1844300842</v>
          </cell>
          <cell r="B382" t="str">
            <v>נופשון לזקן</v>
          </cell>
          <cell r="C382">
            <v>0</v>
          </cell>
          <cell r="D382"/>
          <cell r="E382"/>
          <cell r="F382"/>
          <cell r="G382">
            <v>0</v>
          </cell>
          <cell r="H382">
            <v>0</v>
          </cell>
        </row>
        <row r="383">
          <cell r="A383"/>
          <cell r="B383"/>
          <cell r="C383"/>
          <cell r="D383"/>
          <cell r="E383"/>
          <cell r="F383"/>
          <cell r="G383"/>
        </row>
        <row r="384">
          <cell r="A384"/>
          <cell r="B384"/>
          <cell r="C384"/>
          <cell r="D384"/>
          <cell r="E384"/>
          <cell r="F384"/>
          <cell r="G384"/>
        </row>
        <row r="385">
          <cell r="A385">
            <v>1343500930</v>
          </cell>
          <cell r="B385" t="str">
            <v>מ.חירום אקסטרניים  </v>
          </cell>
          <cell r="C385">
            <v>0</v>
          </cell>
          <cell r="D385"/>
          <cell r="E385"/>
          <cell r="F385"/>
          <cell r="G385">
            <v>16413.84</v>
          </cell>
          <cell r="H385">
            <v>16413.84</v>
          </cell>
        </row>
        <row r="386">
          <cell r="A386">
            <v>1843500840</v>
          </cell>
          <cell r="B386" t="str">
            <v>מ.חירום אקסטרניים  </v>
          </cell>
          <cell r="C386">
            <v>0</v>
          </cell>
          <cell r="D386"/>
          <cell r="E386"/>
          <cell r="F386"/>
          <cell r="G386">
            <v>21885.119999999999</v>
          </cell>
          <cell r="H386">
            <v>21885.119999999999</v>
          </cell>
        </row>
        <row r="387">
          <cell r="A387"/>
          <cell r="B387"/>
          <cell r="C387"/>
          <cell r="D387"/>
          <cell r="E387"/>
          <cell r="F387"/>
          <cell r="G387"/>
        </row>
        <row r="388">
          <cell r="A388">
            <v>1347300937</v>
          </cell>
          <cell r="B388" t="str">
            <v>התמכרויות-חוץ ביתי  </v>
          </cell>
          <cell r="C388">
            <v>0</v>
          </cell>
          <cell r="D388">
            <v>0.75</v>
          </cell>
          <cell r="E388"/>
          <cell r="F388">
            <v>0.75</v>
          </cell>
          <cell r="G388">
            <v>4500</v>
          </cell>
          <cell r="H388">
            <v>4500</v>
          </cell>
        </row>
        <row r="389">
          <cell r="A389">
            <v>1847300847</v>
          </cell>
          <cell r="B389" t="str">
            <v>התמכרויות-חוץ ביתי  </v>
          </cell>
          <cell r="C389">
            <v>0</v>
          </cell>
          <cell r="D389"/>
          <cell r="E389"/>
          <cell r="F389"/>
          <cell r="G389">
            <v>6000</v>
          </cell>
          <cell r="H389">
            <v>6000</v>
          </cell>
        </row>
        <row r="390">
          <cell r="A390"/>
          <cell r="B390"/>
          <cell r="C390"/>
          <cell r="D390"/>
          <cell r="E390"/>
          <cell r="F390"/>
          <cell r="G390"/>
        </row>
        <row r="391">
          <cell r="A391">
            <v>1345100937</v>
          </cell>
          <cell r="B391" t="str">
            <v>סביבה תומכת         </v>
          </cell>
          <cell r="C391">
            <v>0</v>
          </cell>
          <cell r="D391"/>
          <cell r="E391"/>
          <cell r="F391"/>
          <cell r="G391">
            <v>0</v>
          </cell>
          <cell r="H391">
            <v>0</v>
          </cell>
        </row>
        <row r="392">
          <cell r="A392">
            <v>1845100847</v>
          </cell>
          <cell r="B392" t="str">
            <v>סביבה תומכת         </v>
          </cell>
          <cell r="C392">
            <v>0</v>
          </cell>
          <cell r="D392"/>
          <cell r="E392"/>
          <cell r="F392"/>
          <cell r="G392">
            <v>0</v>
          </cell>
          <cell r="H392">
            <v>0</v>
          </cell>
        </row>
        <row r="393">
          <cell r="A393"/>
          <cell r="B393"/>
          <cell r="C393"/>
          <cell r="D393"/>
          <cell r="E393"/>
          <cell r="F393"/>
          <cell r="G393"/>
        </row>
        <row r="394">
          <cell r="A394">
            <v>1343500940</v>
          </cell>
          <cell r="B394" t="str">
            <v xml:space="preserve">בדיקות פסיכולוגיות  </v>
          </cell>
          <cell r="C394">
            <v>0</v>
          </cell>
          <cell r="D394" t="e">
            <v>#DIV/0!</v>
          </cell>
          <cell r="E394"/>
          <cell r="F394" t="e">
            <v>#DIV/0!</v>
          </cell>
          <cell r="G394">
            <v>0</v>
          </cell>
          <cell r="H394">
            <v>0</v>
          </cell>
        </row>
        <row r="395">
          <cell r="A395">
            <v>1843500850</v>
          </cell>
          <cell r="B395" t="str">
            <v xml:space="preserve">בדיקות פסיכולוגיות  </v>
          </cell>
          <cell r="C395">
            <v>0</v>
          </cell>
          <cell r="D395"/>
          <cell r="E395"/>
          <cell r="F395"/>
          <cell r="G395">
            <v>0</v>
          </cell>
          <cell r="H395">
            <v>0</v>
          </cell>
        </row>
        <row r="397">
          <cell r="A397">
            <v>1846700849</v>
          </cell>
          <cell r="B397" t="str">
            <v>חלופה למעון יום שיקומי</v>
          </cell>
          <cell r="C397">
            <v>0</v>
          </cell>
          <cell r="D397" t="e">
            <v>#DIV/0!</v>
          </cell>
          <cell r="F397">
            <v>0.7</v>
          </cell>
          <cell r="G397">
            <v>25000</v>
          </cell>
          <cell r="H397">
            <v>25000</v>
          </cell>
        </row>
        <row r="398">
          <cell r="A398">
            <v>1346700939</v>
          </cell>
          <cell r="B398" t="str">
            <v>חלופה למעון יום שיקומי</v>
          </cell>
          <cell r="C398">
            <v>0</v>
          </cell>
          <cell r="G398">
            <v>17500</v>
          </cell>
          <cell r="H398">
            <v>17500</v>
          </cell>
        </row>
        <row r="400">
          <cell r="A400">
            <v>1844400840</v>
          </cell>
          <cell r="B400" t="str">
            <v>השתתפות בפעילות קשישים מוכים</v>
          </cell>
          <cell r="C400">
            <v>0</v>
          </cell>
          <cell r="D400">
            <v>0.75</v>
          </cell>
          <cell r="F400">
            <v>0.75</v>
          </cell>
          <cell r="G400">
            <v>200000</v>
          </cell>
          <cell r="H400">
            <v>200000</v>
          </cell>
        </row>
        <row r="401">
          <cell r="A401">
            <v>1344400940</v>
          </cell>
          <cell r="B401" t="str">
            <v>השתתפות בפעילות קשישים מוכים</v>
          </cell>
          <cell r="C401">
            <v>0</v>
          </cell>
          <cell r="G401">
            <v>150000</v>
          </cell>
          <cell r="H401">
            <v>150000</v>
          </cell>
        </row>
        <row r="403">
          <cell r="A403">
            <v>1344400933</v>
          </cell>
          <cell r="B403" t="str">
            <v>טיפ.שיניים ומכ.לקשיש</v>
          </cell>
          <cell r="C403">
            <v>0</v>
          </cell>
          <cell r="F403" t="e">
            <v>#DIV/0!</v>
          </cell>
          <cell r="G403">
            <v>0</v>
          </cell>
          <cell r="H403">
            <v>0</v>
          </cell>
        </row>
        <row r="404">
          <cell r="A404">
            <v>1844400843</v>
          </cell>
          <cell r="B404" t="str">
            <v>טיפ.שיניים ומכ.לקשיש</v>
          </cell>
          <cell r="C404">
            <v>0</v>
          </cell>
          <cell r="G404">
            <v>0</v>
          </cell>
          <cell r="H404">
            <v>0</v>
          </cell>
        </row>
        <row r="406">
          <cell r="A406">
            <v>1347300938</v>
          </cell>
          <cell r="B406" t="str">
            <v>טיפול בנוער מתמכר</v>
          </cell>
          <cell r="C406">
            <v>0</v>
          </cell>
          <cell r="F406" t="e">
            <v>#DIV/0!</v>
          </cell>
          <cell r="G406">
            <v>0</v>
          </cell>
          <cell r="H406">
            <v>0</v>
          </cell>
        </row>
        <row r="407">
          <cell r="A407">
            <v>1847300848</v>
          </cell>
          <cell r="B407" t="str">
            <v>טיפול בנוער מתמכר</v>
          </cell>
          <cell r="C407">
            <v>0</v>
          </cell>
          <cell r="G407">
            <v>0</v>
          </cell>
          <cell r="H407">
            <v>0</v>
          </cell>
        </row>
        <row r="409">
          <cell r="A409"/>
          <cell r="B409"/>
          <cell r="D409"/>
          <cell r="E409"/>
          <cell r="F409"/>
        </row>
        <row r="410">
          <cell r="A410">
            <v>1342200937</v>
          </cell>
          <cell r="B410" t="str">
            <v>טיפול בדרי רחוב</v>
          </cell>
          <cell r="C410">
            <v>0</v>
          </cell>
          <cell r="D410"/>
          <cell r="E410"/>
          <cell r="F410"/>
          <cell r="G410">
            <v>7500</v>
          </cell>
          <cell r="H410">
            <v>7500</v>
          </cell>
        </row>
        <row r="411">
          <cell r="A411">
            <v>1842200847</v>
          </cell>
          <cell r="B411" t="str">
            <v>טיפול בדרי רחוב</v>
          </cell>
          <cell r="C411">
            <v>0</v>
          </cell>
          <cell r="D411"/>
          <cell r="E411"/>
          <cell r="F411"/>
          <cell r="G411">
            <v>10000</v>
          </cell>
          <cell r="H411">
            <v>10000</v>
          </cell>
        </row>
        <row r="412">
          <cell r="A412"/>
          <cell r="B412"/>
          <cell r="D412"/>
          <cell r="E412"/>
          <cell r="F412"/>
        </row>
        <row r="413">
          <cell r="A413">
            <v>1346600933</v>
          </cell>
          <cell r="B413" t="str">
            <v>איתור לתעסוקה</v>
          </cell>
          <cell r="C413">
            <v>0</v>
          </cell>
          <cell r="D413"/>
          <cell r="E413"/>
          <cell r="F413"/>
          <cell r="G413">
            <v>18176.400000000001</v>
          </cell>
          <cell r="H413">
            <v>18176.400000000001</v>
          </cell>
        </row>
        <row r="414">
          <cell r="A414">
            <v>1846600843</v>
          </cell>
          <cell r="B414" t="str">
            <v>איתור לתעסוקה</v>
          </cell>
          <cell r="C414">
            <v>0</v>
          </cell>
          <cell r="D414"/>
          <cell r="E414"/>
          <cell r="F414"/>
          <cell r="G414">
            <v>24235.200000000001</v>
          </cell>
          <cell r="H414">
            <v>24235.200000000001</v>
          </cell>
        </row>
        <row r="416">
          <cell r="A416">
            <v>1345100942</v>
          </cell>
          <cell r="B416" t="str">
            <v xml:space="preserve">מועדונ.לילדים ולבוגר </v>
          </cell>
          <cell r="C416">
            <v>0</v>
          </cell>
          <cell r="D416" t="e">
            <v>#DIV/0!</v>
          </cell>
          <cell r="F416">
            <v>0.57136833227914818</v>
          </cell>
          <cell r="G416">
            <v>71544</v>
          </cell>
          <cell r="H416">
            <v>71544</v>
          </cell>
        </row>
        <row r="417">
          <cell r="A417">
            <v>1845100852</v>
          </cell>
          <cell r="B417" t="str">
            <v xml:space="preserve">מועדונ.לילדים ולבוגר </v>
          </cell>
          <cell r="C417">
            <v>0</v>
          </cell>
          <cell r="G417">
            <v>125215.20000000001</v>
          </cell>
          <cell r="H417">
            <v>125215.20000000001</v>
          </cell>
        </row>
        <row r="419">
          <cell r="A419">
            <v>1846900780</v>
          </cell>
          <cell r="B419" t="str">
            <v>שיקום מרכז למשפחה</v>
          </cell>
          <cell r="C419">
            <v>0</v>
          </cell>
          <cell r="D419" t="e">
            <v>#DIV/0!</v>
          </cell>
          <cell r="G419">
            <v>180000</v>
          </cell>
          <cell r="H419">
            <v>180000</v>
          </cell>
        </row>
        <row r="420">
          <cell r="A420">
            <v>1346900920</v>
          </cell>
          <cell r="B420" t="str">
            <v>שיקום מרכז למשפחה</v>
          </cell>
          <cell r="C420">
            <v>0</v>
          </cell>
          <cell r="G420">
            <v>0</v>
          </cell>
          <cell r="H420">
            <v>0</v>
          </cell>
        </row>
        <row r="421">
          <cell r="A421"/>
        </row>
        <row r="422">
          <cell r="A422">
            <v>1842401841</v>
          </cell>
          <cell r="B422" t="str">
            <v>נושמים לרווחה</v>
          </cell>
          <cell r="C422">
            <v>0</v>
          </cell>
          <cell r="F422">
            <v>0.9</v>
          </cell>
          <cell r="G422">
            <v>150000</v>
          </cell>
          <cell r="H422">
            <v>150000</v>
          </cell>
        </row>
        <row r="423">
          <cell r="A423">
            <v>1342401931</v>
          </cell>
          <cell r="B423" t="str">
            <v>נושמים לרווחה</v>
          </cell>
          <cell r="C423">
            <v>0</v>
          </cell>
          <cell r="D423" t="e">
            <v>#DIV/0!</v>
          </cell>
          <cell r="G423">
            <v>112500</v>
          </cell>
          <cell r="H423">
            <v>112500</v>
          </cell>
        </row>
        <row r="424">
          <cell r="A424">
            <v>1842410110</v>
          </cell>
          <cell r="B424" t="str">
            <v>שכר נושמים לרווחה עוצמה</v>
          </cell>
          <cell r="F424">
            <v>1</v>
          </cell>
          <cell r="G424">
            <v>0</v>
          </cell>
          <cell r="H424">
            <v>0</v>
          </cell>
        </row>
        <row r="425">
          <cell r="A425">
            <v>1341000938</v>
          </cell>
          <cell r="B425" t="str">
            <v>נושמים לרווחה-כ"א</v>
          </cell>
          <cell r="G425">
            <v>253200</v>
          </cell>
          <cell r="H425">
            <v>253200</v>
          </cell>
        </row>
        <row r="427">
          <cell r="A427">
            <v>1843500851</v>
          </cell>
          <cell r="B427" t="str">
            <v>התנהגות מינית לא מותאמת</v>
          </cell>
          <cell r="C427">
            <v>0</v>
          </cell>
          <cell r="G427">
            <v>0</v>
          </cell>
          <cell r="H427">
            <v>0</v>
          </cell>
        </row>
        <row r="428">
          <cell r="A428">
            <v>1343500941</v>
          </cell>
          <cell r="B428" t="str">
            <v>התנהגות מינית לא מותאמת</v>
          </cell>
          <cell r="C428">
            <v>0</v>
          </cell>
          <cell r="G428">
            <v>0</v>
          </cell>
          <cell r="H428">
            <v>0</v>
          </cell>
        </row>
        <row r="430">
          <cell r="A430">
            <v>1845300848</v>
          </cell>
          <cell r="B430" t="str">
            <v>מועדון חברתי-מש"ה</v>
          </cell>
          <cell r="C430">
            <v>0</v>
          </cell>
          <cell r="G430">
            <v>62607.600000000006</v>
          </cell>
          <cell r="H430">
            <v>62607.600000000006</v>
          </cell>
        </row>
        <row r="431">
          <cell r="A431">
            <v>1345300938</v>
          </cell>
          <cell r="B431" t="str">
            <v>מועדון חברתי-מש"ה</v>
          </cell>
          <cell r="C431">
            <v>0</v>
          </cell>
          <cell r="D431" t="e">
            <v>#DIV/0!</v>
          </cell>
          <cell r="G431">
            <v>46955.700000000004</v>
          </cell>
          <cell r="H431">
            <v>46955.700000000004</v>
          </cell>
        </row>
        <row r="433">
          <cell r="A433">
            <v>1344500935</v>
          </cell>
          <cell r="B433" t="str">
            <v>מופת ניצולי שואה</v>
          </cell>
          <cell r="F433">
            <v>1</v>
          </cell>
          <cell r="G433">
            <v>274093</v>
          </cell>
          <cell r="H433">
            <v>274093</v>
          </cell>
        </row>
        <row r="434">
          <cell r="A434">
            <v>1844500845</v>
          </cell>
          <cell r="B434" t="str">
            <v>מופת ניצולי שואה</v>
          </cell>
          <cell r="G434">
            <v>276770</v>
          </cell>
          <cell r="H434">
            <v>276770</v>
          </cell>
        </row>
        <row r="436">
          <cell r="A436">
            <v>1346700950</v>
          </cell>
          <cell r="B436" t="str">
            <v>מודוניות לחרשים</v>
          </cell>
          <cell r="D436" t="str">
            <v>לא ברור למה יש הכנסות אם אין הוצאות</v>
          </cell>
          <cell r="F436"/>
        </row>
        <row r="437">
          <cell r="A437">
            <v>1846700850</v>
          </cell>
          <cell r="B437" t="str">
            <v>מועדוניות לחירשים</v>
          </cell>
          <cell r="G437">
            <v>0</v>
          </cell>
          <cell r="H437">
            <v>0</v>
          </cell>
        </row>
        <row r="439">
          <cell r="A439">
            <v>1342400937</v>
          </cell>
          <cell r="B439" t="str">
            <v>תכנית למניעת אלימות</v>
          </cell>
          <cell r="G439">
            <v>9000</v>
          </cell>
          <cell r="H439">
            <v>9000</v>
          </cell>
        </row>
        <row r="440">
          <cell r="A440">
            <v>1842400847</v>
          </cell>
          <cell r="B440" t="str">
            <v>תכנית למניעת אלימות</v>
          </cell>
          <cell r="G440">
            <v>12000</v>
          </cell>
          <cell r="H440">
            <v>12000</v>
          </cell>
        </row>
        <row r="442">
          <cell r="A442">
            <v>1344400943</v>
          </cell>
          <cell r="B442" t="str">
            <v>סיוע לניצולי שואה</v>
          </cell>
          <cell r="G442">
            <v>100000</v>
          </cell>
          <cell r="H442">
            <v>100000</v>
          </cell>
        </row>
        <row r="443">
          <cell r="A443">
            <v>1844400853</v>
          </cell>
          <cell r="B443" t="str">
            <v>סיוע לניצול שואה</v>
          </cell>
          <cell r="G443">
            <v>100000</v>
          </cell>
          <cell r="H443">
            <v>100000</v>
          </cell>
        </row>
        <row r="445">
          <cell r="A445">
            <v>1844400851</v>
          </cell>
          <cell r="B445" t="str">
            <v>טיפול בזקנים בסיכון</v>
          </cell>
          <cell r="G445" t="str">
            <v>אין הוצאה</v>
          </cell>
          <cell r="H445" t="str">
            <v>אין הוצאה</v>
          </cell>
        </row>
        <row r="446">
          <cell r="A446">
            <v>1344400941</v>
          </cell>
          <cell r="B446" t="str">
            <v>טיפול בזקנים בסיכון</v>
          </cell>
          <cell r="G446" t="str">
            <v>לילך תבדוק האם ההחזר יהיה בסעיף אחר?שכר?</v>
          </cell>
          <cell r="H446" t="str">
            <v>לילך תבדוק האם ההחזר יהיה בסעיף אחר?שכר?</v>
          </cell>
        </row>
        <row r="448">
          <cell r="A448">
            <v>1845100853</v>
          </cell>
          <cell r="B448" t="str">
            <v>הפעלת מעונות ממשלתי</v>
          </cell>
          <cell r="G448">
            <v>3093048</v>
          </cell>
          <cell r="H448">
            <v>3093048</v>
          </cell>
        </row>
        <row r="449">
          <cell r="A449">
            <v>1345100943</v>
          </cell>
          <cell r="B449" t="str">
            <v>הפעלת מעונות ממשלתיים</v>
          </cell>
          <cell r="G449">
            <v>2319786</v>
          </cell>
          <cell r="H449">
            <v>2319786</v>
          </cell>
        </row>
        <row r="451">
          <cell r="A451">
            <v>1346800938</v>
          </cell>
          <cell r="B451" t="str">
            <v>מרכז יום לנכים קשים</v>
          </cell>
          <cell r="G451">
            <v>41744.351999999999</v>
          </cell>
          <cell r="H451">
            <v>41744.351999999999</v>
          </cell>
        </row>
        <row r="452">
          <cell r="A452">
            <v>1846800848</v>
          </cell>
          <cell r="B452" t="str">
            <v>מרכזי יום לנכים קשים</v>
          </cell>
          <cell r="G452">
            <v>67222.080000000002</v>
          </cell>
          <cell r="H452">
            <v>67222.080000000002</v>
          </cell>
        </row>
        <row r="454">
          <cell r="A454">
            <v>1346800942</v>
          </cell>
          <cell r="B454" t="str">
            <v>טיפול אישי סעודי לנכ</v>
          </cell>
          <cell r="G454" t="str">
            <v>לילך צריכה לבדוק האם אמור להיות כאן החזר</v>
          </cell>
          <cell r="H454" t="str">
            <v>לילך צריכה לבדוק האם אמור להיות כאן החזר</v>
          </cell>
        </row>
        <row r="455">
          <cell r="A455">
            <v>1846800852</v>
          </cell>
          <cell r="B455" t="str">
            <v>טיפול אישי סעודי לנכ</v>
          </cell>
        </row>
        <row r="457">
          <cell r="A457">
            <v>1347100953</v>
          </cell>
          <cell r="B457" t="str">
            <v>צעירים בקהילה</v>
          </cell>
          <cell r="G457">
            <v>60750</v>
          </cell>
          <cell r="H457">
            <v>60750</v>
          </cell>
        </row>
        <row r="458">
          <cell r="A458">
            <v>1847100853</v>
          </cell>
          <cell r="B458" t="str">
            <v>צעירים בקהילה</v>
          </cell>
          <cell r="F458" t="str">
            <v>האם אמורות להיות הוצאות</v>
          </cell>
          <cell r="G458">
            <v>0</v>
          </cell>
          <cell r="H458">
            <v>0</v>
          </cell>
        </row>
        <row r="460">
          <cell r="A460">
            <v>1348200936</v>
          </cell>
          <cell r="B460" t="str">
            <v>פיתוח קהילתית אסטרטגי</v>
          </cell>
        </row>
        <row r="461">
          <cell r="A461">
            <v>1848200846</v>
          </cell>
          <cell r="B461" t="str">
            <v>פיתוח קהילתי אסטרטגי</v>
          </cell>
        </row>
        <row r="463">
          <cell r="A463">
            <v>1847100854</v>
          </cell>
          <cell r="B463" t="str">
            <v>נערות חוץ ביתי</v>
          </cell>
          <cell r="G463">
            <v>81600</v>
          </cell>
          <cell r="H463">
            <v>81600</v>
          </cell>
        </row>
        <row r="464">
          <cell r="A464">
            <v>1347100954</v>
          </cell>
          <cell r="B464" t="str">
            <v>נערות חוץ ביתי</v>
          </cell>
          <cell r="G464">
            <v>61200</v>
          </cell>
          <cell r="H464">
            <v>61200</v>
          </cell>
        </row>
        <row r="466">
          <cell r="A466">
            <v>1847100849</v>
          </cell>
          <cell r="B466" t="str">
            <v>נפגעות תקיפה מינית</v>
          </cell>
          <cell r="G466">
            <v>34272</v>
          </cell>
          <cell r="H466">
            <v>34272</v>
          </cell>
        </row>
        <row r="467">
          <cell r="A467">
            <v>1347100952</v>
          </cell>
          <cell r="B467" t="str">
            <v>נפגעות תקיפה מינית</v>
          </cell>
          <cell r="G467">
            <v>25704</v>
          </cell>
          <cell r="H467">
            <v>25704</v>
          </cell>
        </row>
        <row r="469">
          <cell r="A469">
            <v>1849300840</v>
          </cell>
          <cell r="B469" t="str">
            <v>פרוייקט לנגמלים</v>
          </cell>
          <cell r="G469">
            <v>20000</v>
          </cell>
          <cell r="H469">
            <v>20000</v>
          </cell>
        </row>
        <row r="470">
          <cell r="A470">
            <v>1349300930</v>
          </cell>
          <cell r="B470" t="str">
            <v>פרוייקט לנגמלים</v>
          </cell>
          <cell r="G470">
            <v>15000</v>
          </cell>
          <cell r="H470">
            <v>15000</v>
          </cell>
        </row>
      </sheetData>
      <sheetData sheetId="9"/>
      <sheetData sheetId="10"/>
      <sheetData sheetId="11"/>
      <sheetData sheetId="12"/>
      <sheetData sheetId="13"/>
      <sheetData sheetId="14">
        <row r="180">
          <cell r="A180">
            <v>1840000910</v>
          </cell>
          <cell r="B180" t="str">
            <v>העברה לתב"ר</v>
          </cell>
          <cell r="C180">
            <v>90000</v>
          </cell>
          <cell r="D180"/>
          <cell r="E180"/>
          <cell r="F180">
            <v>105000</v>
          </cell>
          <cell r="G180">
            <v>195000</v>
          </cell>
        </row>
        <row r="181">
          <cell r="A181">
            <v>1840000981</v>
          </cell>
          <cell r="B181" t="str">
            <v>הזנת עובדים</v>
          </cell>
          <cell r="C181"/>
          <cell r="D181"/>
          <cell r="E181"/>
          <cell r="F181"/>
          <cell r="G181">
            <v>0</v>
          </cell>
        </row>
        <row r="182">
          <cell r="A182">
            <v>1841000511</v>
          </cell>
          <cell r="B182" t="str">
            <v>כיבודים</v>
          </cell>
          <cell r="C182">
            <v>4295.24</v>
          </cell>
          <cell r="D182"/>
          <cell r="E182"/>
          <cell r="F182">
            <v>6704.76</v>
          </cell>
          <cell r="G182">
            <v>11000</v>
          </cell>
        </row>
        <row r="183">
          <cell r="A183">
            <v>1841000560</v>
          </cell>
          <cell r="B183" t="str">
            <v>מכשירי כתיבה והדפסות</v>
          </cell>
          <cell r="C183">
            <v>7895.11</v>
          </cell>
          <cell r="D183"/>
          <cell r="E183"/>
          <cell r="F183">
            <v>4704.8900000000003</v>
          </cell>
          <cell r="G183">
            <v>12600</v>
          </cell>
        </row>
        <row r="184">
          <cell r="A184">
            <v>1841000570</v>
          </cell>
          <cell r="B184" t="str">
            <v>רווחה-מיכון</v>
          </cell>
          <cell r="C184">
            <v>8235.7099999999991</v>
          </cell>
          <cell r="D184"/>
          <cell r="E184"/>
          <cell r="F184">
            <v>6500</v>
          </cell>
          <cell r="G184">
            <v>14735.71</v>
          </cell>
        </row>
        <row r="185">
          <cell r="A185">
            <v>1841000571</v>
          </cell>
          <cell r="B185" t="str">
            <v>עלות שימוש בתוכנת נוכח</v>
          </cell>
          <cell r="C185">
            <v>0</v>
          </cell>
          <cell r="D185"/>
          <cell r="E185"/>
          <cell r="F185"/>
          <cell r="G185">
            <v>0</v>
          </cell>
        </row>
        <row r="186">
          <cell r="A186">
            <v>1841000580</v>
          </cell>
          <cell r="B186" t="str">
            <v>שונות</v>
          </cell>
          <cell r="C186">
            <v>35412.58</v>
          </cell>
          <cell r="D186"/>
          <cell r="E186"/>
          <cell r="F186">
            <v>24587.42</v>
          </cell>
          <cell r="G186">
            <v>60000</v>
          </cell>
        </row>
        <row r="187">
          <cell r="A187">
            <v>1841000581</v>
          </cell>
          <cell r="B187" t="str">
            <v>מדפסות ותקשורת מנהל רווחה</v>
          </cell>
          <cell r="C187">
            <v>3949.73</v>
          </cell>
          <cell r="D187"/>
          <cell r="E187"/>
          <cell r="F187">
            <v>5600</v>
          </cell>
          <cell r="G187">
            <v>9549.73</v>
          </cell>
        </row>
        <row r="188">
          <cell r="A188">
            <v>1841000750</v>
          </cell>
          <cell r="B188" t="str">
            <v>עבודות קבלניות שמירה</v>
          </cell>
          <cell r="C188">
            <v>4953.43</v>
          </cell>
          <cell r="D188"/>
          <cell r="E188"/>
          <cell r="F188">
            <v>8000</v>
          </cell>
          <cell r="G188">
            <v>12953.43</v>
          </cell>
        </row>
        <row r="189">
          <cell r="A189">
            <v>1841000780</v>
          </cell>
          <cell r="B189" t="str">
            <v>הוצ' אחרות</v>
          </cell>
          <cell r="C189">
            <v>0</v>
          </cell>
          <cell r="D189"/>
          <cell r="E189"/>
          <cell r="F189">
            <v>0</v>
          </cell>
          <cell r="G189">
            <v>0</v>
          </cell>
        </row>
        <row r="190">
          <cell r="A190">
            <v>1841000843</v>
          </cell>
          <cell r="B190" t="str">
            <v>פעולות ארגוניות</v>
          </cell>
          <cell r="C190">
            <v>0</v>
          </cell>
          <cell r="D190"/>
          <cell r="E190"/>
          <cell r="F190">
            <v>0</v>
          </cell>
          <cell r="G190">
            <v>0</v>
          </cell>
        </row>
        <row r="191">
          <cell r="A191">
            <v>1841000845</v>
          </cell>
          <cell r="B191" t="str">
            <v>הערכות המחלקות לש"ח</v>
          </cell>
          <cell r="C191"/>
          <cell r="D191"/>
          <cell r="E191"/>
          <cell r="F191"/>
          <cell r="G191">
            <v>0</v>
          </cell>
        </row>
        <row r="192">
          <cell r="A192">
            <v>1841000846</v>
          </cell>
          <cell r="B192" t="str">
            <v>מחשוב מחלקות רווחה</v>
          </cell>
          <cell r="C192">
            <v>4792.58</v>
          </cell>
          <cell r="D192"/>
          <cell r="E192"/>
          <cell r="F192">
            <v>3360</v>
          </cell>
          <cell r="G192">
            <v>8152.58</v>
          </cell>
        </row>
        <row r="193">
          <cell r="A193">
            <v>1841000910</v>
          </cell>
          <cell r="B193" t="str">
            <v>עיר ללא אלימות</v>
          </cell>
          <cell r="C193">
            <v>19134</v>
          </cell>
          <cell r="D193"/>
          <cell r="E193"/>
          <cell r="F193"/>
          <cell r="G193">
            <v>19134</v>
          </cell>
        </row>
        <row r="194">
          <cell r="A194">
            <v>1841000980</v>
          </cell>
          <cell r="B194" t="str">
            <v>הוצאות אחרות בלתי רגיל</v>
          </cell>
          <cell r="C194">
            <v>127139.75</v>
          </cell>
          <cell r="D194"/>
          <cell r="E194"/>
          <cell r="F194">
            <v>72860.25</v>
          </cell>
          <cell r="G194">
            <v>200000</v>
          </cell>
        </row>
        <row r="195">
          <cell r="A195">
            <v>1841000981</v>
          </cell>
          <cell r="B195" t="str">
            <v>פעולות קהילתיות רווחה</v>
          </cell>
          <cell r="C195">
            <v>164216.45000000001</v>
          </cell>
          <cell r="D195"/>
          <cell r="E195"/>
          <cell r="F195">
            <v>285783.55</v>
          </cell>
          <cell r="G195">
            <v>450000</v>
          </cell>
        </row>
        <row r="196">
          <cell r="A196">
            <v>1841000982</v>
          </cell>
          <cell r="B196" t="str">
            <v>סיו"ע לנזקקים</v>
          </cell>
          <cell r="C196">
            <v>0</v>
          </cell>
          <cell r="D196"/>
          <cell r="E196"/>
          <cell r="F196"/>
          <cell r="G196">
            <v>0</v>
          </cell>
        </row>
        <row r="197">
          <cell r="A197">
            <v>1841100750</v>
          </cell>
          <cell r="B197" t="str">
            <v>עבודות קבלניות</v>
          </cell>
          <cell r="C197">
            <v>17365</v>
          </cell>
          <cell r="D197"/>
          <cell r="E197"/>
          <cell r="F197">
            <v>12635</v>
          </cell>
          <cell r="G197">
            <v>30000</v>
          </cell>
        </row>
        <row r="198">
          <cell r="A198">
            <v>1842200840</v>
          </cell>
          <cell r="B198" t="str">
            <v>משפחות במצוקה בקהילה</v>
          </cell>
          <cell r="C198">
            <v>108255</v>
          </cell>
          <cell r="D198"/>
          <cell r="E198"/>
          <cell r="F198">
            <v>61745</v>
          </cell>
          <cell r="G198">
            <v>170000</v>
          </cell>
        </row>
        <row r="199">
          <cell r="A199">
            <v>1842200843</v>
          </cell>
          <cell r="B199" t="str">
            <v>סיוע למשפחות עם ילדים</v>
          </cell>
          <cell r="C199">
            <v>60092</v>
          </cell>
          <cell r="D199"/>
          <cell r="E199"/>
          <cell r="F199">
            <v>65000</v>
          </cell>
          <cell r="G199">
            <v>125092</v>
          </cell>
        </row>
        <row r="200">
          <cell r="A200">
            <v>1842200844</v>
          </cell>
          <cell r="B200" t="str">
            <v>מס.ארציות לדרי רחוב</v>
          </cell>
          <cell r="C200">
            <v>30227</v>
          </cell>
          <cell r="D200">
            <v>7680</v>
          </cell>
          <cell r="E200">
            <v>2</v>
          </cell>
          <cell r="F200">
            <v>80800</v>
          </cell>
          <cell r="G200">
            <v>111027</v>
          </cell>
        </row>
        <row r="201">
          <cell r="A201">
            <v>1842200846</v>
          </cell>
          <cell r="B201" t="str">
            <v>מקלטים לנשים מוכות</v>
          </cell>
          <cell r="C201">
            <v>16425</v>
          </cell>
          <cell r="D201"/>
          <cell r="E201"/>
          <cell r="F201"/>
          <cell r="G201">
            <v>16425</v>
          </cell>
        </row>
        <row r="202">
          <cell r="A202">
            <v>1842200847</v>
          </cell>
          <cell r="B202" t="str">
            <v>טיפול בדרי רחוב</v>
          </cell>
          <cell r="C202">
            <v>15791</v>
          </cell>
          <cell r="D202"/>
          <cell r="E202"/>
          <cell r="F202">
            <v>-4714</v>
          </cell>
          <cell r="G202">
            <v>11077</v>
          </cell>
        </row>
        <row r="203">
          <cell r="A203">
            <v>1842400841</v>
          </cell>
          <cell r="B203" t="str">
            <v>תחנות לטיפול במשפחה</v>
          </cell>
          <cell r="C203">
            <v>0</v>
          </cell>
          <cell r="D203"/>
          <cell r="E203"/>
          <cell r="F203">
            <v>9600</v>
          </cell>
          <cell r="G203">
            <v>9600</v>
          </cell>
        </row>
        <row r="204">
          <cell r="A204">
            <v>1842400844</v>
          </cell>
          <cell r="B204" t="str">
            <v>מרכזי טיפול במשפחה</v>
          </cell>
          <cell r="C204">
            <v>44181</v>
          </cell>
          <cell r="D204"/>
          <cell r="E204"/>
          <cell r="F204">
            <v>40819</v>
          </cell>
          <cell r="G204">
            <v>85000</v>
          </cell>
        </row>
        <row r="205">
          <cell r="A205">
            <v>1842400845</v>
          </cell>
          <cell r="B205" t="str">
            <v>מרכזי טיפול באלימות</v>
          </cell>
          <cell r="C205">
            <v>33609.360000000001</v>
          </cell>
          <cell r="D205"/>
          <cell r="E205"/>
          <cell r="F205">
            <v>34659</v>
          </cell>
          <cell r="G205">
            <v>68268.36</v>
          </cell>
        </row>
        <row r="206">
          <cell r="A206">
            <v>1842400846</v>
          </cell>
          <cell r="B206" t="str">
            <v>סדנאות למשפחה</v>
          </cell>
          <cell r="C206">
            <v>4041</v>
          </cell>
          <cell r="D206"/>
          <cell r="E206"/>
          <cell r="F206">
            <v>7959</v>
          </cell>
          <cell r="G206">
            <v>12000</v>
          </cell>
        </row>
        <row r="207">
          <cell r="A207">
            <v>1842400847</v>
          </cell>
          <cell r="B207" t="str">
            <v>תכנית למניעת אלימות</v>
          </cell>
          <cell r="C207">
            <v>0</v>
          </cell>
          <cell r="D207"/>
          <cell r="E207"/>
          <cell r="F207"/>
          <cell r="G207">
            <v>0</v>
          </cell>
        </row>
        <row r="208">
          <cell r="A208">
            <v>1842401840</v>
          </cell>
          <cell r="B208" t="str">
            <v>ת. לאומית פרט ומשפחה</v>
          </cell>
          <cell r="C208">
            <v>162000</v>
          </cell>
          <cell r="D208"/>
          <cell r="E208"/>
          <cell r="F208"/>
          <cell r="G208">
            <v>162000</v>
          </cell>
        </row>
        <row r="209">
          <cell r="A209">
            <v>1842401841</v>
          </cell>
          <cell r="B209" t="str">
            <v>נושמים לרווחה ועוצמה</v>
          </cell>
          <cell r="C209">
            <v>49308.959999999999</v>
          </cell>
          <cell r="D209"/>
          <cell r="E209"/>
          <cell r="F209">
            <v>28484</v>
          </cell>
          <cell r="G209">
            <v>77792.959999999992</v>
          </cell>
        </row>
        <row r="210">
          <cell r="A210">
            <v>1843500840</v>
          </cell>
          <cell r="B210" t="str">
            <v>מ.חירום אקסטניים</v>
          </cell>
          <cell r="C210">
            <v>7152</v>
          </cell>
          <cell r="D210"/>
          <cell r="E210"/>
          <cell r="F210"/>
          <cell r="G210">
            <v>7152</v>
          </cell>
        </row>
        <row r="211">
          <cell r="A211">
            <v>1843500841</v>
          </cell>
          <cell r="B211" t="str">
            <v>טיפול במשפחות אומנה</v>
          </cell>
          <cell r="C211">
            <v>157834</v>
          </cell>
          <cell r="D211">
            <v>1604</v>
          </cell>
          <cell r="E211">
            <v>15</v>
          </cell>
          <cell r="F211">
            <v>133152</v>
          </cell>
          <cell r="G211">
            <v>290986</v>
          </cell>
        </row>
        <row r="212">
          <cell r="A212">
            <v>1843500842</v>
          </cell>
          <cell r="B212" t="str">
            <v>טיפול בילד בקהילה</v>
          </cell>
          <cell r="C212">
            <v>274527</v>
          </cell>
          <cell r="D212"/>
          <cell r="E212"/>
          <cell r="F212">
            <v>178740</v>
          </cell>
          <cell r="G212">
            <v>453267</v>
          </cell>
        </row>
        <row r="213">
          <cell r="A213">
            <v>1843500844</v>
          </cell>
          <cell r="B213" t="str">
            <v>ת.לאומית-ילד ונוער</v>
          </cell>
          <cell r="C213">
            <v>62716.800000000003</v>
          </cell>
          <cell r="D213"/>
          <cell r="E213"/>
          <cell r="F213">
            <v>27283.199999999997</v>
          </cell>
          <cell r="G213">
            <v>90000</v>
          </cell>
        </row>
        <row r="214">
          <cell r="A214">
            <v>1843500845</v>
          </cell>
          <cell r="B214" t="str">
            <v>מועדוניות משותפות</v>
          </cell>
          <cell r="C214">
            <v>69272.2</v>
          </cell>
          <cell r="D214"/>
          <cell r="E214"/>
          <cell r="F214">
            <v>25400</v>
          </cell>
          <cell r="G214">
            <v>94672.2</v>
          </cell>
        </row>
        <row r="215">
          <cell r="A215">
            <v>1843500847</v>
          </cell>
          <cell r="B215" t="str">
            <v>יצירת קשר הורים-ילדים</v>
          </cell>
          <cell r="C215">
            <v>6954</v>
          </cell>
          <cell r="D215"/>
          <cell r="E215"/>
          <cell r="F215"/>
          <cell r="G215">
            <v>6954</v>
          </cell>
        </row>
        <row r="216">
          <cell r="A216">
            <v>1843500849</v>
          </cell>
          <cell r="B216" t="str">
            <v>טיפול בפגיעת מיניות</v>
          </cell>
          <cell r="C216">
            <v>137628</v>
          </cell>
          <cell r="D216"/>
          <cell r="E216"/>
          <cell r="F216">
            <v>62484</v>
          </cell>
          <cell r="G216">
            <v>200112</v>
          </cell>
        </row>
        <row r="217">
          <cell r="A217">
            <v>1843500850</v>
          </cell>
          <cell r="B217" t="str">
            <v>בדיקות פסיכולוגיות</v>
          </cell>
          <cell r="C217">
            <v>0</v>
          </cell>
          <cell r="D217"/>
          <cell r="E217"/>
          <cell r="F217"/>
          <cell r="G217">
            <v>0</v>
          </cell>
        </row>
        <row r="218">
          <cell r="A218">
            <v>1843500851</v>
          </cell>
          <cell r="B218" t="str">
            <v>התנ.מינית לא מותאמת</v>
          </cell>
          <cell r="C218">
            <v>0</v>
          </cell>
          <cell r="D218"/>
          <cell r="E218"/>
          <cell r="F218"/>
          <cell r="G218">
            <v>0</v>
          </cell>
        </row>
        <row r="219">
          <cell r="A219">
            <v>1843800840</v>
          </cell>
          <cell r="B219" t="str">
            <v>אחזקת ילדים בפנימיות</v>
          </cell>
          <cell r="C219">
            <v>2848149</v>
          </cell>
          <cell r="D219">
            <v>7200</v>
          </cell>
          <cell r="E219">
            <v>64</v>
          </cell>
          <cell r="F219">
            <v>2142728</v>
          </cell>
          <cell r="G219">
            <v>4990877</v>
          </cell>
        </row>
        <row r="220">
          <cell r="A220">
            <v>1843800842</v>
          </cell>
          <cell r="B220" t="str">
            <v>טפול במשפחות אומנה</v>
          </cell>
          <cell r="C220">
            <v>1015166</v>
          </cell>
          <cell r="D220"/>
          <cell r="E220"/>
          <cell r="F220">
            <v>-1015166</v>
          </cell>
          <cell r="G220">
            <v>0</v>
          </cell>
        </row>
        <row r="221">
          <cell r="A221">
            <v>1843800845</v>
          </cell>
          <cell r="B221" t="str">
            <v>תכנית עם הפנים לקהילה</v>
          </cell>
          <cell r="C221">
            <v>49052.12</v>
          </cell>
          <cell r="D221"/>
          <cell r="E221"/>
          <cell r="F221">
            <v>95869</v>
          </cell>
          <cell r="G221">
            <v>144921.12</v>
          </cell>
        </row>
        <row r="222">
          <cell r="A222">
            <v>1843900840</v>
          </cell>
          <cell r="B222" t="str">
            <v>ילדים במעונות יום</v>
          </cell>
          <cell r="C222">
            <v>2082074</v>
          </cell>
          <cell r="D222">
            <v>2187.5</v>
          </cell>
          <cell r="E222">
            <v>126</v>
          </cell>
          <cell r="F222">
            <v>1412063</v>
          </cell>
          <cell r="G222">
            <v>3494137</v>
          </cell>
        </row>
        <row r="223">
          <cell r="A223">
            <v>1844000430</v>
          </cell>
          <cell r="B223" t="str">
            <v>מים וחשמל-מועדון קשישים</v>
          </cell>
          <cell r="C223">
            <v>1170.0899999999999</v>
          </cell>
          <cell r="D223"/>
          <cell r="E223"/>
          <cell r="F223">
            <v>850</v>
          </cell>
          <cell r="G223">
            <v>2020.09</v>
          </cell>
        </row>
        <row r="224">
          <cell r="A224">
            <v>1844300840</v>
          </cell>
          <cell r="B224" t="str">
            <v>אחזקת זקנים במעונות</v>
          </cell>
          <cell r="C224">
            <v>3162121</v>
          </cell>
          <cell r="D224">
            <v>9150</v>
          </cell>
          <cell r="E224">
            <v>50</v>
          </cell>
          <cell r="F224">
            <v>2272188</v>
          </cell>
          <cell r="G224">
            <v>5434309</v>
          </cell>
        </row>
        <row r="225">
          <cell r="A225">
            <v>1844300842</v>
          </cell>
          <cell r="B225" t="str">
            <v>נופשון לזקן</v>
          </cell>
          <cell r="C225">
            <v>0</v>
          </cell>
          <cell r="D225"/>
          <cell r="E225"/>
          <cell r="F225"/>
          <cell r="G225">
            <v>0</v>
          </cell>
        </row>
        <row r="226">
          <cell r="A226">
            <v>1844400780</v>
          </cell>
          <cell r="B226" t="str">
            <v>שכונה תומכת+קהילה תומכת</v>
          </cell>
          <cell r="C226">
            <v>0</v>
          </cell>
          <cell r="D226"/>
          <cell r="E226"/>
          <cell r="F226">
            <v>60000</v>
          </cell>
          <cell r="G226">
            <v>60000</v>
          </cell>
        </row>
        <row r="227">
          <cell r="A227">
            <v>1844400840</v>
          </cell>
          <cell r="B227" t="str">
            <v>השתתפות בפעילות לקשישים</v>
          </cell>
          <cell r="C227">
            <v>34015</v>
          </cell>
          <cell r="D227"/>
          <cell r="E227"/>
          <cell r="F227">
            <v>14540</v>
          </cell>
          <cell r="G227">
            <v>48555</v>
          </cell>
        </row>
        <row r="228">
          <cell r="A228">
            <v>1844400841</v>
          </cell>
          <cell r="B228" t="str">
            <v>שירותים לניצולי שואה</v>
          </cell>
          <cell r="C228">
            <v>37784</v>
          </cell>
          <cell r="D228"/>
          <cell r="E228"/>
          <cell r="F228">
            <v>62216</v>
          </cell>
          <cell r="G228">
            <v>100000</v>
          </cell>
        </row>
        <row r="229">
          <cell r="A229">
            <v>1844400842</v>
          </cell>
          <cell r="B229" t="str">
            <v>טיפול בזקן בקהילה</v>
          </cell>
          <cell r="C229">
            <v>108164</v>
          </cell>
          <cell r="D229"/>
          <cell r="E229"/>
          <cell r="F229">
            <v>81836</v>
          </cell>
          <cell r="G229">
            <v>190000</v>
          </cell>
        </row>
        <row r="230">
          <cell r="A230">
            <v>1844400843</v>
          </cell>
          <cell r="B230" t="str">
            <v>טיפ.שיניים ומכ.לקשיש</v>
          </cell>
          <cell r="C230">
            <v>0</v>
          </cell>
          <cell r="D230"/>
          <cell r="E230"/>
          <cell r="F230"/>
          <cell r="G230">
            <v>0</v>
          </cell>
        </row>
        <row r="231">
          <cell r="A231">
            <v>1844400844</v>
          </cell>
          <cell r="B231" t="str">
            <v>מרכזי ועדות-חוק סעוד</v>
          </cell>
          <cell r="C231">
            <v>0</v>
          </cell>
          <cell r="D231"/>
          <cell r="E231"/>
          <cell r="F231"/>
          <cell r="G231">
            <v>0</v>
          </cell>
        </row>
        <row r="232">
          <cell r="A232">
            <v>1844400845</v>
          </cell>
          <cell r="B232" t="str">
            <v>מועדונים לזקנים</v>
          </cell>
          <cell r="C232">
            <v>19580.37</v>
          </cell>
          <cell r="D232"/>
          <cell r="E232"/>
          <cell r="F232">
            <v>10419.630000000001</v>
          </cell>
          <cell r="G232">
            <v>30000</v>
          </cell>
        </row>
        <row r="233">
          <cell r="A233">
            <v>1844400846</v>
          </cell>
          <cell r="B233" t="str">
            <v>מיגון וציוד ביתי</v>
          </cell>
          <cell r="C233">
            <v>0</v>
          </cell>
          <cell r="D233"/>
          <cell r="E233"/>
          <cell r="F233"/>
          <cell r="G233">
            <v>0</v>
          </cell>
        </row>
        <row r="234">
          <cell r="A234">
            <v>1844400849</v>
          </cell>
          <cell r="B234" t="str">
            <v>שכונה תומכת</v>
          </cell>
          <cell r="C234">
            <v>248067</v>
          </cell>
          <cell r="D234"/>
          <cell r="E234"/>
          <cell r="F234">
            <v>165000</v>
          </cell>
          <cell r="G234">
            <v>413067</v>
          </cell>
        </row>
        <row r="235">
          <cell r="A235">
            <v>1844400852</v>
          </cell>
          <cell r="B235" t="str">
            <v>ק.תומכת נצולי שואה</v>
          </cell>
          <cell r="C235">
            <v>10028</v>
          </cell>
          <cell r="D235"/>
          <cell r="E235"/>
          <cell r="F235">
            <v>3290</v>
          </cell>
          <cell r="G235">
            <v>13318</v>
          </cell>
        </row>
        <row r="236">
          <cell r="A236">
            <v>1844400853</v>
          </cell>
          <cell r="B236" t="str">
            <v>סיוע לניצול שואה</v>
          </cell>
          <cell r="C236">
            <v>27416</v>
          </cell>
          <cell r="D236"/>
          <cell r="E236"/>
          <cell r="F236"/>
          <cell r="G236">
            <v>27416</v>
          </cell>
        </row>
        <row r="237">
          <cell r="A237">
            <v>1844500840</v>
          </cell>
          <cell r="B237" t="str">
            <v>מסגרות יומיות לזקן</v>
          </cell>
          <cell r="C237">
            <v>237222</v>
          </cell>
          <cell r="D237"/>
          <cell r="E237"/>
          <cell r="F237">
            <v>57277</v>
          </cell>
          <cell r="G237">
            <v>294499</v>
          </cell>
        </row>
        <row r="238">
          <cell r="A238">
            <v>1844500843</v>
          </cell>
          <cell r="B238" t="str">
            <v>מועדונים מועשרים מופת</v>
          </cell>
          <cell r="C238">
            <v>140000</v>
          </cell>
          <cell r="D238"/>
          <cell r="E238"/>
          <cell r="F238">
            <v>110000</v>
          </cell>
          <cell r="G238">
            <v>250000</v>
          </cell>
        </row>
        <row r="239">
          <cell r="A239">
            <v>1844500845</v>
          </cell>
          <cell r="B239" t="str">
            <v>מופת ניצולי שואה</v>
          </cell>
          <cell r="C239">
            <v>66239.78</v>
          </cell>
          <cell r="D239"/>
          <cell r="E239"/>
          <cell r="F239">
            <v>185760.22</v>
          </cell>
          <cell r="G239">
            <v>252000</v>
          </cell>
        </row>
        <row r="240">
          <cell r="A240">
            <v>1845100842</v>
          </cell>
          <cell r="B240" t="str">
            <v>אחזקת אוטיסטים במסגר</v>
          </cell>
          <cell r="C240">
            <v>595189</v>
          </cell>
          <cell r="D240">
            <v>17000</v>
          </cell>
          <cell r="E240">
            <v>5</v>
          </cell>
          <cell r="F240">
            <v>427098</v>
          </cell>
          <cell r="G240">
            <v>1022287</v>
          </cell>
        </row>
        <row r="241">
          <cell r="A241">
            <v>1845100843</v>
          </cell>
          <cell r="B241" t="str">
            <v>טיפול בהורים ובילדיה</v>
          </cell>
          <cell r="C241">
            <v>17835</v>
          </cell>
          <cell r="D241"/>
          <cell r="E241"/>
          <cell r="F241">
            <v>37600</v>
          </cell>
          <cell r="G241">
            <v>55435</v>
          </cell>
        </row>
        <row r="242">
          <cell r="A242">
            <v>1845100844</v>
          </cell>
          <cell r="B242" t="str">
            <v>נופשונים וקייטנות</v>
          </cell>
          <cell r="C242">
            <v>0</v>
          </cell>
          <cell r="D242"/>
          <cell r="E242"/>
          <cell r="F242">
            <v>5220</v>
          </cell>
          <cell r="G242">
            <v>5220</v>
          </cell>
        </row>
        <row r="243">
          <cell r="A243">
            <v>1845100845</v>
          </cell>
          <cell r="B243" t="str">
            <v>משפחות אומנה למפגר</v>
          </cell>
          <cell r="C243">
            <v>11602</v>
          </cell>
          <cell r="D243">
            <v>841</v>
          </cell>
          <cell r="E243">
            <v>2</v>
          </cell>
          <cell r="F243">
            <v>8410</v>
          </cell>
          <cell r="G243">
            <v>20012</v>
          </cell>
        </row>
        <row r="244">
          <cell r="A244">
            <v>1845100846</v>
          </cell>
          <cell r="B244" t="str">
            <v>מ.יום שיקומי לאוטיסט</v>
          </cell>
          <cell r="C244">
            <v>71716</v>
          </cell>
          <cell r="D244">
            <v>5100</v>
          </cell>
          <cell r="E244">
            <v>1</v>
          </cell>
          <cell r="F244">
            <v>64622</v>
          </cell>
          <cell r="G244">
            <v>136338</v>
          </cell>
        </row>
        <row r="245">
          <cell r="A245">
            <v>1845100847</v>
          </cell>
          <cell r="B245" t="str">
            <v>סביבה תומכת</v>
          </cell>
          <cell r="C245"/>
          <cell r="D245"/>
          <cell r="E245"/>
          <cell r="F245"/>
          <cell r="G245">
            <v>0</v>
          </cell>
        </row>
        <row r="246">
          <cell r="A246">
            <v>1845100848</v>
          </cell>
          <cell r="B246" t="str">
            <v>מ.יום ותעסוקה לבוגרים</v>
          </cell>
          <cell r="C246">
            <v>30301</v>
          </cell>
          <cell r="D246">
            <v>4346</v>
          </cell>
          <cell r="E246">
            <v>1</v>
          </cell>
          <cell r="F246">
            <v>21730</v>
          </cell>
          <cell r="G246">
            <v>52031</v>
          </cell>
        </row>
        <row r="247">
          <cell r="A247">
            <v>1845100849</v>
          </cell>
          <cell r="B247" t="str">
            <v>הסעות לאוטיסטים</v>
          </cell>
          <cell r="C247">
            <v>11887</v>
          </cell>
          <cell r="D247"/>
          <cell r="E247"/>
          <cell r="F247">
            <v>10000</v>
          </cell>
          <cell r="G247">
            <v>21887</v>
          </cell>
        </row>
        <row r="248">
          <cell r="A248">
            <v>1845100850</v>
          </cell>
          <cell r="B248" t="str">
            <v>סידור במעונות-מש"ה</v>
          </cell>
          <cell r="C248">
            <v>6052089</v>
          </cell>
          <cell r="D248">
            <v>12300</v>
          </cell>
          <cell r="E248">
            <v>84</v>
          </cell>
          <cell r="F248">
            <v>6327797</v>
          </cell>
          <cell r="G248">
            <v>12379886</v>
          </cell>
        </row>
        <row r="249">
          <cell r="A249">
            <v>1845100851</v>
          </cell>
          <cell r="B249" t="str">
            <v>מעון ממשלתי-מש"ה</v>
          </cell>
          <cell r="C249">
            <v>0</v>
          </cell>
          <cell r="D249">
            <v>13300</v>
          </cell>
          <cell r="E249">
            <v>19</v>
          </cell>
          <cell r="F249">
            <v>3060425</v>
          </cell>
          <cell r="G249">
            <v>3060425</v>
          </cell>
        </row>
        <row r="250">
          <cell r="A250">
            <v>1845100852</v>
          </cell>
          <cell r="B250" t="str">
            <v>מועדונ.לילדים ולבוגר</v>
          </cell>
          <cell r="C250">
            <v>90473</v>
          </cell>
          <cell r="D250">
            <v>1138</v>
          </cell>
          <cell r="E250">
            <v>8</v>
          </cell>
          <cell r="F250">
            <v>47020</v>
          </cell>
          <cell r="G250">
            <v>137493</v>
          </cell>
        </row>
        <row r="251">
          <cell r="A251">
            <v>1845100853</v>
          </cell>
          <cell r="B251" t="str">
            <v>הפעלת מעונות ממשלתי</v>
          </cell>
          <cell r="C251">
            <v>1796925</v>
          </cell>
          <cell r="D251"/>
          <cell r="E251"/>
          <cell r="F251"/>
          <cell r="G251"/>
        </row>
        <row r="252">
          <cell r="A252">
            <v>1845200840</v>
          </cell>
          <cell r="B252" t="str">
            <v>מפגרים במעון אומונ'</v>
          </cell>
          <cell r="C252"/>
          <cell r="D252"/>
          <cell r="E252"/>
          <cell r="F252"/>
          <cell r="G252">
            <v>0</v>
          </cell>
        </row>
        <row r="253">
          <cell r="A253">
            <v>1845200841</v>
          </cell>
          <cell r="B253" t="str">
            <v>מפגרים במעון טיפולי)דק</v>
          </cell>
          <cell r="C253">
            <v>977.48</v>
          </cell>
          <cell r="D253"/>
          <cell r="E253"/>
          <cell r="F253">
            <v>650</v>
          </cell>
          <cell r="G253">
            <v>1627.48</v>
          </cell>
        </row>
        <row r="254">
          <cell r="A254">
            <v>1845200842</v>
          </cell>
          <cell r="B254" t="str">
            <v>מעשי"ם .</v>
          </cell>
          <cell r="C254">
            <v>350181</v>
          </cell>
          <cell r="D254">
            <v>1780</v>
          </cell>
          <cell r="E254">
            <v>32</v>
          </cell>
          <cell r="F254">
            <v>272377</v>
          </cell>
          <cell r="G254">
            <v>622558</v>
          </cell>
        </row>
        <row r="255">
          <cell r="A255">
            <v>1845200846</v>
          </cell>
          <cell r="B255" t="str">
            <v>מ.יום אימוני-מש"ה</v>
          </cell>
          <cell r="C255">
            <v>30769.68</v>
          </cell>
          <cell r="D255"/>
          <cell r="E255"/>
          <cell r="F255">
            <v>19230.32</v>
          </cell>
          <cell r="G255">
            <v>50000</v>
          </cell>
        </row>
        <row r="256">
          <cell r="A256">
            <v>1845200847</v>
          </cell>
          <cell r="B256" t="str">
            <v>מ.יום טיפולי-מש"ה</v>
          </cell>
          <cell r="C256">
            <v>655208</v>
          </cell>
          <cell r="D256"/>
          <cell r="E256"/>
          <cell r="F256">
            <v>535000</v>
          </cell>
          <cell r="G256">
            <v>1190208</v>
          </cell>
        </row>
        <row r="257">
          <cell r="A257">
            <v>1845300840</v>
          </cell>
          <cell r="B257" t="str">
            <v>שרותים תומכים למפגר</v>
          </cell>
          <cell r="C257">
            <v>0</v>
          </cell>
          <cell r="D257"/>
          <cell r="E257"/>
          <cell r="F257"/>
          <cell r="G257">
            <v>0</v>
          </cell>
        </row>
        <row r="258">
          <cell r="A258">
            <v>1845300841</v>
          </cell>
          <cell r="B258" t="str">
            <v>נופשונים למפגר</v>
          </cell>
          <cell r="C258">
            <v>22137</v>
          </cell>
          <cell r="D258"/>
          <cell r="E258"/>
          <cell r="F258">
            <v>1767</v>
          </cell>
          <cell r="G258">
            <v>23904</v>
          </cell>
        </row>
        <row r="259">
          <cell r="A259">
            <v>1845300843</v>
          </cell>
          <cell r="B259" t="str">
            <v>מועדונים חברת.למפגר</v>
          </cell>
          <cell r="C259">
            <v>3512</v>
          </cell>
          <cell r="D259"/>
          <cell r="E259"/>
          <cell r="F259">
            <v>-3512</v>
          </cell>
          <cell r="G259">
            <v>0</v>
          </cell>
        </row>
        <row r="260">
          <cell r="A260">
            <v>1845300846</v>
          </cell>
          <cell r="B260" t="str">
            <v>שירותים תומכים-מש"ה</v>
          </cell>
          <cell r="C260">
            <v>5941</v>
          </cell>
          <cell r="D260">
            <v>400</v>
          </cell>
          <cell r="E260">
            <v>15</v>
          </cell>
          <cell r="F260">
            <v>37893</v>
          </cell>
          <cell r="G260">
            <v>43834</v>
          </cell>
        </row>
        <row r="261">
          <cell r="A261">
            <v>1845300847</v>
          </cell>
          <cell r="B261" t="str">
            <v>הסעות למ.יום-מש"ה</v>
          </cell>
          <cell r="C261">
            <v>287985</v>
          </cell>
          <cell r="D261"/>
          <cell r="E261"/>
          <cell r="F261">
            <v>200000</v>
          </cell>
          <cell r="G261">
            <v>487985</v>
          </cell>
        </row>
        <row r="262">
          <cell r="A262">
            <v>1845300848</v>
          </cell>
          <cell r="B262" t="str">
            <v>מועדון חברתי-מש"ה</v>
          </cell>
          <cell r="C262">
            <v>24614</v>
          </cell>
          <cell r="D262">
            <v>351</v>
          </cell>
          <cell r="E262">
            <v>12</v>
          </cell>
          <cell r="F262">
            <v>24572</v>
          </cell>
          <cell r="G262">
            <v>49186</v>
          </cell>
        </row>
        <row r="263">
          <cell r="A263">
            <v>1846100840</v>
          </cell>
          <cell r="B263" t="str">
            <v>ילדים עוורים במוסדות</v>
          </cell>
          <cell r="C263">
            <v>105014</v>
          </cell>
          <cell r="D263">
            <v>13891</v>
          </cell>
          <cell r="E263">
            <v>1</v>
          </cell>
          <cell r="F263">
            <v>69455</v>
          </cell>
          <cell r="G263">
            <v>174469</v>
          </cell>
        </row>
        <row r="264">
          <cell r="A264">
            <v>1846300841</v>
          </cell>
          <cell r="B264" t="str">
            <v>הדרכת עוור ובני ביתו</v>
          </cell>
          <cell r="C264">
            <v>32476</v>
          </cell>
          <cell r="D264"/>
          <cell r="E264"/>
          <cell r="F264">
            <v>30524</v>
          </cell>
          <cell r="G264">
            <v>63000</v>
          </cell>
        </row>
        <row r="265">
          <cell r="A265">
            <v>1846300843</v>
          </cell>
          <cell r="B265" t="str">
            <v>שיקום העוור בקהילה</v>
          </cell>
          <cell r="C265">
            <v>9705.4500000000007</v>
          </cell>
          <cell r="D265"/>
          <cell r="E265"/>
          <cell r="F265">
            <v>-2373</v>
          </cell>
          <cell r="G265">
            <v>7332.4500000000007</v>
          </cell>
        </row>
        <row r="266">
          <cell r="A266">
            <v>1846400780</v>
          </cell>
          <cell r="B266" t="str">
            <v>הוצאות שונות</v>
          </cell>
          <cell r="C266">
            <v>2922.59</v>
          </cell>
          <cell r="D266"/>
          <cell r="E266"/>
          <cell r="F266">
            <v>6077.41</v>
          </cell>
          <cell r="G266">
            <v>9000</v>
          </cell>
        </row>
        <row r="267">
          <cell r="A267">
            <v>1846400840</v>
          </cell>
          <cell r="B267" t="str">
            <v>מפעלי תעסוקה ומועדון</v>
          </cell>
          <cell r="C267">
            <v>51546</v>
          </cell>
          <cell r="D267"/>
          <cell r="E267"/>
          <cell r="F267">
            <v>3454</v>
          </cell>
          <cell r="G267">
            <v>55000</v>
          </cell>
        </row>
        <row r="268">
          <cell r="A268">
            <v>1846400841</v>
          </cell>
          <cell r="B268" t="str">
            <v>מפעלי שיקום לעוור</v>
          </cell>
          <cell r="C268">
            <v>2606</v>
          </cell>
          <cell r="D268"/>
          <cell r="E268"/>
          <cell r="F268"/>
          <cell r="G268">
            <v>2606</v>
          </cell>
        </row>
        <row r="269">
          <cell r="A269">
            <v>1846500840</v>
          </cell>
          <cell r="B269" t="str">
            <v>אחזקת נכים בפנימיות</v>
          </cell>
          <cell r="C269">
            <v>2064681</v>
          </cell>
          <cell r="D269">
            <v>11800</v>
          </cell>
          <cell r="E269">
            <v>24</v>
          </cell>
          <cell r="F269">
            <v>1416395</v>
          </cell>
          <cell r="G269">
            <v>3481076</v>
          </cell>
        </row>
        <row r="270">
          <cell r="A270">
            <v>1846600840</v>
          </cell>
          <cell r="B270" t="str">
            <v>מס' יום לילד המוגבל</v>
          </cell>
          <cell r="C270">
            <v>37027</v>
          </cell>
          <cell r="D270">
            <v>1118</v>
          </cell>
          <cell r="E270">
            <v>4</v>
          </cell>
          <cell r="F270">
            <v>22360</v>
          </cell>
          <cell r="G270">
            <v>59387</v>
          </cell>
        </row>
        <row r="271">
          <cell r="A271">
            <v>1846600841</v>
          </cell>
          <cell r="B271" t="str">
            <v>תעסוקה מוגנת למוגבל</v>
          </cell>
          <cell r="C271">
            <v>99043</v>
          </cell>
          <cell r="D271">
            <v>1400</v>
          </cell>
          <cell r="E271">
            <v>10</v>
          </cell>
          <cell r="F271">
            <v>71884</v>
          </cell>
          <cell r="G271">
            <v>170927</v>
          </cell>
        </row>
        <row r="272">
          <cell r="A272">
            <v>1846600843</v>
          </cell>
          <cell r="B272" t="str">
            <v>איתור לתעסוקה</v>
          </cell>
          <cell r="C272">
            <v>0</v>
          </cell>
          <cell r="D272"/>
          <cell r="E272"/>
          <cell r="F272">
            <v>9900</v>
          </cell>
          <cell r="G272">
            <v>9900</v>
          </cell>
        </row>
        <row r="273">
          <cell r="A273">
            <v>1846700840</v>
          </cell>
          <cell r="B273" t="str">
            <v>תוכניות לילד החריג</v>
          </cell>
          <cell r="C273">
            <v>3592</v>
          </cell>
          <cell r="D273"/>
          <cell r="E273"/>
          <cell r="F273">
            <v>13300</v>
          </cell>
          <cell r="G273">
            <v>16892</v>
          </cell>
        </row>
        <row r="274">
          <cell r="A274">
            <v>1846700841</v>
          </cell>
          <cell r="B274" t="str">
            <v>תכנית מעבר</v>
          </cell>
          <cell r="C274">
            <v>7578</v>
          </cell>
          <cell r="D274">
            <v>544</v>
          </cell>
          <cell r="E274">
            <v>2</v>
          </cell>
          <cell r="F274">
            <v>5440</v>
          </cell>
          <cell r="G274">
            <v>13018</v>
          </cell>
        </row>
        <row r="275">
          <cell r="A275">
            <v>1846700843</v>
          </cell>
          <cell r="B275" t="str">
            <v>מ.יום שיקומי לנכים</v>
          </cell>
          <cell r="C275">
            <v>227854</v>
          </cell>
          <cell r="D275">
            <v>5250</v>
          </cell>
          <cell r="E275">
            <v>3</v>
          </cell>
          <cell r="F275">
            <v>392790</v>
          </cell>
          <cell r="G275">
            <v>392790</v>
          </cell>
        </row>
        <row r="276">
          <cell r="C276"/>
          <cell r="D276">
            <v>17310</v>
          </cell>
          <cell r="E276">
            <v>1</v>
          </cell>
          <cell r="F276"/>
          <cell r="G276"/>
        </row>
        <row r="277">
          <cell r="A277">
            <v>1846700844</v>
          </cell>
          <cell r="B277" t="str">
            <v>הסעות למ.יום שיקומי</v>
          </cell>
          <cell r="C277">
            <v>146993</v>
          </cell>
          <cell r="D277"/>
          <cell r="E277"/>
          <cell r="F277">
            <v>134200</v>
          </cell>
          <cell r="G277">
            <v>281193</v>
          </cell>
        </row>
        <row r="278">
          <cell r="A278">
            <v>1846700845</v>
          </cell>
          <cell r="B278" t="str">
            <v>ליווי למ.יום שיקומי</v>
          </cell>
          <cell r="C278"/>
          <cell r="D278"/>
          <cell r="E278"/>
          <cell r="F278"/>
          <cell r="G278">
            <v>0</v>
          </cell>
        </row>
        <row r="279">
          <cell r="A279">
            <v>1846700846</v>
          </cell>
          <cell r="B279" t="str">
            <v>נופשונים להבראה</v>
          </cell>
          <cell r="C279">
            <v>702</v>
          </cell>
          <cell r="D279"/>
          <cell r="E279"/>
          <cell r="F279">
            <v>5672</v>
          </cell>
          <cell r="G279">
            <v>6374</v>
          </cell>
        </row>
        <row r="280">
          <cell r="A280">
            <v>1846700848</v>
          </cell>
          <cell r="B280" t="str">
            <v>תעסוקה נתמכת לנכים</v>
          </cell>
          <cell r="C280">
            <v>88692</v>
          </cell>
          <cell r="D280">
            <v>900</v>
          </cell>
          <cell r="E280">
            <v>11</v>
          </cell>
          <cell r="F280">
            <v>41591</v>
          </cell>
          <cell r="G280">
            <v>130283</v>
          </cell>
        </row>
        <row r="281">
          <cell r="A281">
            <v>1846700849</v>
          </cell>
          <cell r="B281" t="str">
            <v>חלופה למ.יום שיקומי</v>
          </cell>
          <cell r="C281">
            <v>0</v>
          </cell>
          <cell r="D281"/>
          <cell r="E281"/>
          <cell r="F281"/>
          <cell r="G281">
            <v>0</v>
          </cell>
        </row>
        <row r="282">
          <cell r="A282">
            <v>1846700850</v>
          </cell>
          <cell r="B282" t="str">
            <v>מועדוניות לחירשים</v>
          </cell>
          <cell r="C282"/>
          <cell r="D282"/>
          <cell r="E282"/>
          <cell r="F282"/>
          <cell r="G282">
            <v>0</v>
          </cell>
        </row>
        <row r="283">
          <cell r="A283">
            <v>1846800842</v>
          </cell>
          <cell r="B283" t="str">
            <v>שיקום נכים בקהילה</v>
          </cell>
          <cell r="C283">
            <v>31826</v>
          </cell>
          <cell r="D283"/>
          <cell r="E283"/>
          <cell r="F283"/>
          <cell r="G283">
            <v>31826</v>
          </cell>
        </row>
        <row r="284">
          <cell r="A284">
            <v>1846800843</v>
          </cell>
          <cell r="B284" t="str">
            <v>מרכזי איבחון ושיקום</v>
          </cell>
          <cell r="C284">
            <v>40398</v>
          </cell>
          <cell r="D284">
            <v>3729</v>
          </cell>
          <cell r="E284">
            <v>1</v>
          </cell>
          <cell r="F284">
            <v>20000</v>
          </cell>
          <cell r="G284">
            <v>60398</v>
          </cell>
        </row>
        <row r="285">
          <cell r="A285">
            <v>1846800844</v>
          </cell>
          <cell r="B285" t="str">
            <v>נכים קשים בקהילה</v>
          </cell>
          <cell r="C285">
            <v>771.69</v>
          </cell>
          <cell r="D285"/>
          <cell r="E285"/>
          <cell r="F285">
            <v>6400</v>
          </cell>
          <cell r="G285">
            <v>7171.6900000000005</v>
          </cell>
        </row>
        <row r="286">
          <cell r="A286">
            <v>1846800846</v>
          </cell>
          <cell r="B286" t="str">
            <v>קהילה תומכת לנכים</v>
          </cell>
          <cell r="C286">
            <v>139392</v>
          </cell>
          <cell r="D286"/>
          <cell r="E286"/>
          <cell r="F286">
            <v>371806</v>
          </cell>
          <cell r="G286">
            <v>511198</v>
          </cell>
        </row>
        <row r="287">
          <cell r="A287">
            <v>1846800848</v>
          </cell>
          <cell r="B287" t="str">
            <v>מרכזי יום לנכים קשים</v>
          </cell>
          <cell r="C287">
            <v>38237</v>
          </cell>
          <cell r="D287"/>
          <cell r="E287"/>
          <cell r="F287">
            <v>27460</v>
          </cell>
          <cell r="G287">
            <v>65697</v>
          </cell>
        </row>
        <row r="288">
          <cell r="A288">
            <v>1846800850</v>
          </cell>
          <cell r="B288" t="str">
            <v>בוגרים עיוורים בקהיל</v>
          </cell>
          <cell r="C288">
            <v>41156.879999999997</v>
          </cell>
          <cell r="D288"/>
          <cell r="E288"/>
          <cell r="F288">
            <v>28630</v>
          </cell>
          <cell r="G288">
            <v>69786.880000000005</v>
          </cell>
        </row>
        <row r="289">
          <cell r="A289">
            <v>1846800851</v>
          </cell>
          <cell r="B289" t="str">
            <v>ילדים עיוורים בקהילה</v>
          </cell>
          <cell r="C289"/>
          <cell r="D289"/>
          <cell r="E289"/>
          <cell r="F289"/>
          <cell r="G289">
            <v>0</v>
          </cell>
        </row>
        <row r="290">
          <cell r="A290">
            <v>1846900780</v>
          </cell>
          <cell r="B290" t="str">
            <v>שיקום מרכז למשפחה</v>
          </cell>
          <cell r="C290">
            <v>70000</v>
          </cell>
          <cell r="D290"/>
          <cell r="E290"/>
          <cell r="F290">
            <v>110000</v>
          </cell>
          <cell r="G290">
            <v>180000</v>
          </cell>
        </row>
        <row r="291">
          <cell r="A291">
            <v>1847100841</v>
          </cell>
          <cell r="B291" t="str">
            <v>טפול בנוער ובצעירים</v>
          </cell>
          <cell r="C291">
            <v>90513.11</v>
          </cell>
          <cell r="D291"/>
          <cell r="E291"/>
          <cell r="F291">
            <v>149486.89000000001</v>
          </cell>
          <cell r="G291">
            <v>240000</v>
          </cell>
        </row>
        <row r="292">
          <cell r="A292">
            <v>1847100843</v>
          </cell>
          <cell r="B292" t="str">
            <v>טפול בנערות במצוקה</v>
          </cell>
          <cell r="C292">
            <v>82258.84</v>
          </cell>
          <cell r="D292"/>
          <cell r="E292"/>
          <cell r="F292">
            <v>83741.16</v>
          </cell>
          <cell r="G292">
            <v>166000</v>
          </cell>
        </row>
        <row r="293">
          <cell r="A293">
            <v>1847100845</v>
          </cell>
          <cell r="B293" t="str">
            <v>נוער וצעיר.חוץ ביתי</v>
          </cell>
          <cell r="C293">
            <v>5840.86</v>
          </cell>
          <cell r="D293"/>
          <cell r="E293"/>
          <cell r="F293">
            <v>2257</v>
          </cell>
          <cell r="G293">
            <v>8097.86</v>
          </cell>
        </row>
        <row r="294">
          <cell r="A294">
            <v>1847100846</v>
          </cell>
          <cell r="B294" t="str">
            <v>מ.לנפגעי תקיפה מינית</v>
          </cell>
          <cell r="C294">
            <v>28690</v>
          </cell>
          <cell r="D294"/>
          <cell r="E294"/>
          <cell r="F294">
            <v>13420</v>
          </cell>
          <cell r="G294">
            <v>42110</v>
          </cell>
        </row>
        <row r="295">
          <cell r="A295">
            <v>1847100850</v>
          </cell>
          <cell r="B295" t="str">
            <v>בית נועם</v>
          </cell>
          <cell r="C295">
            <v>0</v>
          </cell>
          <cell r="D295"/>
          <cell r="E295"/>
          <cell r="F295"/>
          <cell r="G295">
            <v>0</v>
          </cell>
        </row>
        <row r="296">
          <cell r="A296">
            <v>1847100852</v>
          </cell>
          <cell r="B296" t="str">
            <v>פרוייקט וינגייט</v>
          </cell>
          <cell r="C296">
            <v>5000</v>
          </cell>
          <cell r="D296"/>
          <cell r="E296"/>
          <cell r="F296">
            <v>15000</v>
          </cell>
          <cell r="G296">
            <v>20000</v>
          </cell>
        </row>
        <row r="297">
          <cell r="A297">
            <v>1847110842</v>
          </cell>
          <cell r="B297" t="str">
            <v>תוכנית לאומית נוער וצעירים</v>
          </cell>
          <cell r="C297">
            <v>49896.09</v>
          </cell>
          <cell r="D297"/>
          <cell r="E297"/>
          <cell r="F297">
            <v>30103.910000000003</v>
          </cell>
          <cell r="G297">
            <v>80000</v>
          </cell>
        </row>
        <row r="298">
          <cell r="A298">
            <v>1847300840</v>
          </cell>
          <cell r="B298" t="str">
            <v>בדיקות למשתמשים בסמים</v>
          </cell>
          <cell r="C298">
            <v>4243.25</v>
          </cell>
          <cell r="D298"/>
          <cell r="E298"/>
          <cell r="F298">
            <v>570.75</v>
          </cell>
          <cell r="G298">
            <v>4814</v>
          </cell>
        </row>
        <row r="299">
          <cell r="A299">
            <v>1847300846</v>
          </cell>
          <cell r="B299" t="str">
            <v>התמכרויות-מבוגרים</v>
          </cell>
          <cell r="C299">
            <v>143859</v>
          </cell>
          <cell r="D299"/>
          <cell r="E299"/>
          <cell r="F299">
            <v>114783</v>
          </cell>
          <cell r="G299">
            <v>258642</v>
          </cell>
        </row>
        <row r="300">
          <cell r="A300">
            <v>1847300847</v>
          </cell>
          <cell r="B300" t="str">
            <v>התמכרויות -חוץ ביתי</v>
          </cell>
          <cell r="C300">
            <v>0</v>
          </cell>
          <cell r="D300"/>
          <cell r="E300"/>
          <cell r="F300"/>
          <cell r="G300">
            <v>0</v>
          </cell>
        </row>
        <row r="301">
          <cell r="A301">
            <v>1847300848</v>
          </cell>
          <cell r="B301" t="str">
            <v>טיפול בנוער מתמכר</v>
          </cell>
          <cell r="C301">
            <v>0</v>
          </cell>
          <cell r="D301"/>
          <cell r="E301"/>
          <cell r="F301"/>
          <cell r="G301">
            <v>0</v>
          </cell>
        </row>
        <row r="302">
          <cell r="A302">
            <v>1847400422</v>
          </cell>
          <cell r="B302" t="str">
            <v>מפת"ן-אחזקת מבנים</v>
          </cell>
          <cell r="C302">
            <v>16090.06</v>
          </cell>
          <cell r="D302"/>
          <cell r="E302"/>
          <cell r="F302">
            <v>27000</v>
          </cell>
          <cell r="G302">
            <v>43090.06</v>
          </cell>
        </row>
        <row r="303">
          <cell r="A303">
            <v>1847400540</v>
          </cell>
          <cell r="B303" t="str">
            <v>בולים טלפון ומברקים</v>
          </cell>
          <cell r="C303">
            <v>4396.03</v>
          </cell>
          <cell r="D303"/>
          <cell r="E303"/>
          <cell r="F303">
            <v>3000</v>
          </cell>
          <cell r="G303">
            <v>7396.03</v>
          </cell>
        </row>
        <row r="304">
          <cell r="A304">
            <v>1847400560</v>
          </cell>
          <cell r="B304" t="str">
            <v>מפת"ן-הוצ' משרדיות</v>
          </cell>
          <cell r="C304">
            <v>513.75</v>
          </cell>
          <cell r="D304"/>
          <cell r="E304"/>
          <cell r="F304">
            <v>2986.25</v>
          </cell>
          <cell r="G304">
            <v>3500</v>
          </cell>
        </row>
        <row r="305">
          <cell r="A305">
            <v>1847400720</v>
          </cell>
          <cell r="B305" t="str">
            <v>חמרים</v>
          </cell>
          <cell r="C305">
            <v>3535</v>
          </cell>
          <cell r="D305"/>
          <cell r="E305"/>
          <cell r="F305">
            <v>3500</v>
          </cell>
          <cell r="G305">
            <v>7035</v>
          </cell>
        </row>
        <row r="306">
          <cell r="A306">
            <v>1847400840</v>
          </cell>
          <cell r="B306" t="str">
            <v>מפת'ן ממשלתי</v>
          </cell>
          <cell r="C306">
            <v>0</v>
          </cell>
          <cell r="D306"/>
          <cell r="E306"/>
          <cell r="F306"/>
          <cell r="G306">
            <v>0</v>
          </cell>
        </row>
        <row r="307">
          <cell r="A307">
            <v>1847400841</v>
          </cell>
          <cell r="B307" t="str">
            <v>מפת'ן מקומי אחזקה</v>
          </cell>
          <cell r="C307">
            <v>79041.289999999994</v>
          </cell>
          <cell r="D307"/>
          <cell r="E307"/>
          <cell r="F307">
            <v>92422</v>
          </cell>
          <cell r="G307">
            <v>171463.28999999998</v>
          </cell>
        </row>
        <row r="308">
          <cell r="A308">
            <v>1847400843</v>
          </cell>
          <cell r="B308" t="str">
            <v>פעול משלימות למפתן</v>
          </cell>
          <cell r="C308">
            <v>0</v>
          </cell>
          <cell r="D308"/>
          <cell r="E308"/>
          <cell r="F308">
            <v>3290</v>
          </cell>
          <cell r="G308">
            <v>3290</v>
          </cell>
        </row>
        <row r="309">
          <cell r="A309">
            <v>1847400844</v>
          </cell>
          <cell r="B309" t="str">
            <v>טיפ.בנפג.סמים-פרוי.</v>
          </cell>
          <cell r="C309">
            <v>0</v>
          </cell>
          <cell r="D309"/>
          <cell r="E309"/>
          <cell r="F309"/>
          <cell r="G309">
            <v>0</v>
          </cell>
        </row>
        <row r="310">
          <cell r="A310">
            <v>1847400845</v>
          </cell>
          <cell r="B310" t="str">
            <v>ת.מניעת אלימות במפתן</v>
          </cell>
          <cell r="C310">
            <v>0</v>
          </cell>
          <cell r="D310"/>
          <cell r="E310"/>
          <cell r="F310"/>
          <cell r="G310">
            <v>0</v>
          </cell>
        </row>
        <row r="311">
          <cell r="A311">
            <v>1847400846</v>
          </cell>
          <cell r="B311" t="str">
            <v>מפתן כולל כ"א</v>
          </cell>
          <cell r="C311">
            <v>13538</v>
          </cell>
          <cell r="D311"/>
          <cell r="E311"/>
          <cell r="F311"/>
          <cell r="G311">
            <v>13538</v>
          </cell>
        </row>
        <row r="312">
          <cell r="A312">
            <v>1847411750</v>
          </cell>
          <cell r="B312" t="str">
            <v>נקיון מפתן</v>
          </cell>
          <cell r="C312">
            <v>0</v>
          </cell>
          <cell r="D312"/>
          <cell r="E312"/>
          <cell r="F312">
            <v>1965.6</v>
          </cell>
          <cell r="G312">
            <v>1965.6</v>
          </cell>
        </row>
        <row r="313">
          <cell r="A313">
            <v>1848200841</v>
          </cell>
          <cell r="B313" t="str">
            <v>עבודה  קהילתית</v>
          </cell>
          <cell r="C313">
            <v>22218.1</v>
          </cell>
          <cell r="D313"/>
          <cell r="E313"/>
          <cell r="F313">
            <v>2781.9000000000015</v>
          </cell>
          <cell r="G313">
            <v>25000</v>
          </cell>
        </row>
        <row r="314">
          <cell r="A314">
            <v>1848200847</v>
          </cell>
          <cell r="B314" t="str">
            <v>קהילות פונקציונליות</v>
          </cell>
          <cell r="C314">
            <v>7510</v>
          </cell>
          <cell r="D314"/>
          <cell r="E314"/>
          <cell r="F314">
            <v>3490</v>
          </cell>
          <cell r="G314">
            <v>11000</v>
          </cell>
        </row>
        <row r="315">
          <cell r="A315">
            <v>1848300580</v>
          </cell>
          <cell r="B315" t="str">
            <v>הוצ' אחרות</v>
          </cell>
          <cell r="C315">
            <v>970.57</v>
          </cell>
          <cell r="D315"/>
          <cell r="E315"/>
          <cell r="F315">
            <v>4168</v>
          </cell>
          <cell r="G315">
            <v>5138.57</v>
          </cell>
        </row>
        <row r="316">
          <cell r="A316">
            <v>1848300840</v>
          </cell>
          <cell r="B316" t="str">
            <v>התנדבות פעולות</v>
          </cell>
          <cell r="C316">
            <v>3494.81</v>
          </cell>
          <cell r="D316"/>
          <cell r="E316"/>
          <cell r="F316">
            <v>4505.1900000000005</v>
          </cell>
          <cell r="G316">
            <v>8000</v>
          </cell>
        </row>
        <row r="317">
          <cell r="A317">
            <v>1848400840</v>
          </cell>
          <cell r="B317" t="str">
            <v>לשכות יעוץ לאזרח</v>
          </cell>
          <cell r="C317">
            <v>441.07</v>
          </cell>
          <cell r="D317"/>
          <cell r="E317"/>
          <cell r="F317">
            <v>2470</v>
          </cell>
          <cell r="G317">
            <v>2911.07</v>
          </cell>
        </row>
        <row r="318">
          <cell r="A318">
            <v>1848500840</v>
          </cell>
          <cell r="B318" t="str">
            <v>שיקום שכונות-פעולות</v>
          </cell>
          <cell r="C318">
            <v>36000</v>
          </cell>
          <cell r="D318"/>
          <cell r="E318"/>
          <cell r="F318"/>
          <cell r="G318">
            <v>36000</v>
          </cell>
        </row>
        <row r="319">
          <cell r="A319">
            <v>1848800780</v>
          </cell>
          <cell r="B319" t="str">
            <v>שקום שכונות השכלה גבוה</v>
          </cell>
          <cell r="C319">
            <v>30000</v>
          </cell>
          <cell r="D319"/>
          <cell r="E319"/>
          <cell r="F319"/>
          <cell r="G319">
            <v>30000</v>
          </cell>
        </row>
        <row r="320">
          <cell r="A320">
            <v>1848801750</v>
          </cell>
          <cell r="B320" t="str">
            <v>פעולות חוסן העמותה לילדים בסיכון</v>
          </cell>
          <cell r="C320">
            <v>25290.959999999999</v>
          </cell>
          <cell r="D320"/>
          <cell r="E320"/>
          <cell r="F320">
            <v>4709.0400000000009</v>
          </cell>
          <cell r="G320">
            <v>30000</v>
          </cell>
        </row>
        <row r="321">
          <cell r="A321">
            <v>1849000840</v>
          </cell>
          <cell r="B321" t="str">
            <v>מ.יום טפולי עולים</v>
          </cell>
          <cell r="C321">
            <v>0</v>
          </cell>
          <cell r="D321"/>
          <cell r="E321"/>
          <cell r="F321"/>
          <cell r="G321">
            <v>0</v>
          </cell>
        </row>
        <row r="322">
          <cell r="A322">
            <v>1849000842</v>
          </cell>
          <cell r="B322" t="str">
            <v>מעש"ים עולים</v>
          </cell>
          <cell r="C322">
            <v>22110</v>
          </cell>
          <cell r="D322">
            <v>1727</v>
          </cell>
          <cell r="E322">
            <v>2</v>
          </cell>
          <cell r="F322">
            <v>15543</v>
          </cell>
          <cell r="G322">
            <v>37653</v>
          </cell>
        </row>
        <row r="323">
          <cell r="A323">
            <v>1849000844</v>
          </cell>
          <cell r="B323" t="str">
            <v>ילדים בפנימיות-עולים</v>
          </cell>
          <cell r="C323">
            <v>64366</v>
          </cell>
          <cell r="D323">
            <v>9785</v>
          </cell>
          <cell r="E323">
            <v>1</v>
          </cell>
          <cell r="F323">
            <v>48641</v>
          </cell>
          <cell r="G323">
            <v>113007</v>
          </cell>
        </row>
        <row r="324">
          <cell r="A324">
            <v>1849000845</v>
          </cell>
          <cell r="B324" t="str">
            <v>טיפול בזקנים עולים</v>
          </cell>
          <cell r="C324">
            <v>30628</v>
          </cell>
          <cell r="D324"/>
          <cell r="E324"/>
          <cell r="F324">
            <v>19998</v>
          </cell>
          <cell r="G324">
            <v>50626</v>
          </cell>
        </row>
        <row r="325">
          <cell r="A325">
            <v>1849000846</v>
          </cell>
          <cell r="B325" t="str">
            <v>תוכ. קבוצ. וקהילה עולים</v>
          </cell>
          <cell r="C325">
            <v>0</v>
          </cell>
          <cell r="D325"/>
          <cell r="E325"/>
          <cell r="F325"/>
          <cell r="G325">
            <v>0</v>
          </cell>
        </row>
        <row r="326">
          <cell r="A326">
            <v>1849000851</v>
          </cell>
          <cell r="B326" t="str">
            <v>ס.במעונות-מש"ה עולים</v>
          </cell>
          <cell r="C326">
            <v>103223</v>
          </cell>
          <cell r="D326">
            <v>14800</v>
          </cell>
          <cell r="E326">
            <v>1</v>
          </cell>
          <cell r="F326">
            <v>74000</v>
          </cell>
          <cell r="G326">
            <v>177223</v>
          </cell>
        </row>
        <row r="327">
          <cell r="A327">
            <v>1849001841</v>
          </cell>
          <cell r="B327" t="str">
            <v>פיתוח קהיל.בין תרבו</v>
          </cell>
          <cell r="C327">
            <v>110555.57</v>
          </cell>
          <cell r="D327"/>
          <cell r="E327"/>
          <cell r="F327">
            <v>89444.43</v>
          </cell>
          <cell r="G327">
            <v>200000</v>
          </cell>
        </row>
        <row r="328">
          <cell r="A328">
            <v>1849001844</v>
          </cell>
          <cell r="B328" t="str">
            <v>תוכנית קבוצתית לעולים</v>
          </cell>
          <cell r="C328">
            <v>0</v>
          </cell>
          <cell r="D328"/>
          <cell r="E328"/>
          <cell r="F328"/>
          <cell r="G328">
            <v>0</v>
          </cell>
        </row>
        <row r="329">
          <cell r="A329">
            <v>1849001847</v>
          </cell>
          <cell r="B329" t="str">
            <v>ילדים במצוקה עולים</v>
          </cell>
          <cell r="C329">
            <v>11634</v>
          </cell>
          <cell r="D329"/>
          <cell r="E329"/>
          <cell r="F329">
            <v>3366</v>
          </cell>
          <cell r="G329">
            <v>15000</v>
          </cell>
        </row>
        <row r="330">
          <cell r="A330">
            <v>1849001849</v>
          </cell>
          <cell r="B330" t="str">
            <v>משפחות עולים במצוקה</v>
          </cell>
          <cell r="C330">
            <v>10057</v>
          </cell>
          <cell r="D330"/>
          <cell r="E330"/>
          <cell r="F330">
            <v>9943</v>
          </cell>
          <cell r="G330">
            <v>20000</v>
          </cell>
        </row>
        <row r="331">
          <cell r="A331">
            <v>1849002849</v>
          </cell>
          <cell r="B331" t="str">
            <v>טיפול בעוורים עולים</v>
          </cell>
          <cell r="C331">
            <v>7975</v>
          </cell>
          <cell r="D331"/>
          <cell r="E331"/>
          <cell r="F331"/>
          <cell r="G331">
            <v>7975</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I1029"/>
  <sheetViews>
    <sheetView rightToLeft="1" workbookViewId="0">
      <pane ySplit="1" topLeftCell="A2" activePane="bottomLeft" state="frozen"/>
      <selection pane="bottomLeft" activeCell="C5" sqref="C5"/>
    </sheetView>
  </sheetViews>
  <sheetFormatPr baseColWidth="10" defaultColWidth="8.83203125" defaultRowHeight="13" x14ac:dyDescent="0.15"/>
  <cols>
    <col min="1" max="1" width="11" bestFit="1" customWidth="1"/>
    <col min="2" max="2" width="39.5" bestFit="1" customWidth="1"/>
    <col min="3" max="3" width="15.6640625" bestFit="1" customWidth="1"/>
    <col min="4" max="4" width="11.33203125" customWidth="1"/>
    <col min="5" max="5" width="16.5" style="15" bestFit="1" customWidth="1"/>
    <col min="6" max="8" width="14" style="15" bestFit="1" customWidth="1"/>
    <col min="9" max="9" width="11.33203125" bestFit="1" customWidth="1"/>
  </cols>
  <sheetData>
    <row r="1" spans="1:8" x14ac:dyDescent="0.15">
      <c r="A1" s="13" t="s">
        <v>266</v>
      </c>
      <c r="B1" s="13" t="s">
        <v>267</v>
      </c>
      <c r="C1" s="13" t="s">
        <v>1106</v>
      </c>
      <c r="E1" s="14" t="s">
        <v>1107</v>
      </c>
      <c r="F1" s="14" t="s">
        <v>1079</v>
      </c>
      <c r="G1" s="14" t="s">
        <v>1080</v>
      </c>
      <c r="H1" s="14" t="s">
        <v>1108</v>
      </c>
    </row>
    <row r="2" spans="1:8" x14ac:dyDescent="0.15">
      <c r="A2" t="s">
        <v>268</v>
      </c>
      <c r="B2" t="s">
        <v>269</v>
      </c>
    </row>
    <row r="3" spans="1:8" x14ac:dyDescent="0.15">
      <c r="A3" t="s">
        <v>270</v>
      </c>
      <c r="B3" t="s">
        <v>271</v>
      </c>
    </row>
    <row r="4" spans="1:8" x14ac:dyDescent="0.15">
      <c r="A4" t="s">
        <v>272</v>
      </c>
      <c r="B4" t="s">
        <v>273</v>
      </c>
    </row>
    <row r="5" spans="1:8" x14ac:dyDescent="0.15">
      <c r="A5">
        <v>1111100100</v>
      </c>
      <c r="B5" t="s">
        <v>273</v>
      </c>
      <c r="C5" s="16" t="e">
        <f>VLOOKUP(A5,#REF!,3,FALSE)</f>
        <v>#REF!</v>
      </c>
      <c r="E5" s="15">
        <f>VLOOKUP(A5,'[1]תקציב 2012 נכון להיום'!$A$2:$E$1361,5,FALSE)</f>
        <v>67773191.840000004</v>
      </c>
      <c r="F5" s="15">
        <v>89665000</v>
      </c>
      <c r="G5" s="15">
        <v>77454940.859999999</v>
      </c>
      <c r="H5" s="15">
        <v>75790667.480000004</v>
      </c>
    </row>
    <row r="6" spans="1:8" x14ac:dyDescent="0.15">
      <c r="A6">
        <v>1111200100</v>
      </c>
      <c r="B6" t="s">
        <v>274</v>
      </c>
      <c r="C6" s="16" t="e">
        <f>VLOOKUP(A6,#REF!,3,FALSE)</f>
        <v>#REF!</v>
      </c>
      <c r="E6" s="15">
        <f>VLOOKUP(A6,'[1]תקציב 2012 נכון להיום'!$A$2:$E$1361,5,FALSE)</f>
        <v>9168704.0299999993</v>
      </c>
      <c r="F6" s="15">
        <v>10500000</v>
      </c>
      <c r="G6" s="15">
        <v>14886755.52</v>
      </c>
      <c r="H6" s="15">
        <v>12652935.67</v>
      </c>
    </row>
    <row r="7" spans="1:8" x14ac:dyDescent="0.15">
      <c r="A7">
        <v>1111300291</v>
      </c>
      <c r="B7" t="s">
        <v>275</v>
      </c>
      <c r="C7" s="16" t="e">
        <f>VLOOKUP(A7,#REF!,3,FALSE)</f>
        <v>#REF!</v>
      </c>
      <c r="E7" s="15">
        <f>VLOOKUP(A7,'[1]תקציב 2012 נכון להיום'!$A$2:$E$1361,5,FALSE)</f>
        <v>206855.85</v>
      </c>
      <c r="F7" s="15">
        <v>500000</v>
      </c>
      <c r="G7" s="15">
        <v>380126.35</v>
      </c>
      <c r="H7" s="15">
        <v>361653</v>
      </c>
    </row>
    <row r="8" spans="1:8" x14ac:dyDescent="0.15">
      <c r="A8">
        <v>1111400100</v>
      </c>
      <c r="B8" t="s">
        <v>276</v>
      </c>
      <c r="C8" s="16" t="e">
        <f>VLOOKUP(A8,#REF!,3,FALSE)</f>
        <v>#REF!</v>
      </c>
      <c r="E8" s="15">
        <f>VLOOKUP(A8,'[1]תקציב 2012 נכון להיום'!$A$2:$E$1361,5,FALSE)</f>
        <v>4666862</v>
      </c>
      <c r="F8" s="15">
        <v>4650000</v>
      </c>
      <c r="G8" s="15">
        <v>4573980.71</v>
      </c>
      <c r="H8" s="15">
        <v>4419695</v>
      </c>
    </row>
    <row r="9" spans="1:8" x14ac:dyDescent="0.15">
      <c r="C9" s="16" t="e">
        <f>VLOOKUP(A9,#REF!,3,FALSE)</f>
        <v>#REF!</v>
      </c>
    </row>
    <row r="10" spans="1:8" x14ac:dyDescent="0.15">
      <c r="A10" t="s">
        <v>278</v>
      </c>
      <c r="B10" t="s">
        <v>279</v>
      </c>
      <c r="C10" s="16" t="e">
        <f>VLOOKUP(A10,#REF!,3,FALSE)</f>
        <v>#REF!</v>
      </c>
    </row>
    <row r="11" spans="1:8" x14ac:dyDescent="0.15">
      <c r="A11">
        <v>1413100212</v>
      </c>
      <c r="B11" t="s">
        <v>280</v>
      </c>
      <c r="C11" s="16" t="e">
        <f>VLOOKUP(A11,#REF!,3,FALSE)</f>
        <v>#REF!</v>
      </c>
      <c r="E11" s="15">
        <f>VLOOKUP(A11,'[1]תקציב 2012 נכון להיום'!$A$2:$E$1361,5,FALSE)</f>
        <v>338191.83</v>
      </c>
      <c r="F11" s="15">
        <v>637000</v>
      </c>
      <c r="G11" s="15">
        <v>2909137.47</v>
      </c>
      <c r="H11" s="15">
        <v>2065786.1</v>
      </c>
    </row>
    <row r="12" spans="1:8" x14ac:dyDescent="0.15">
      <c r="C12" s="16" t="e">
        <f>VLOOKUP(A12,#REF!,3,FALSE)</f>
        <v>#REF!</v>
      </c>
    </row>
    <row r="13" spans="1:8" x14ac:dyDescent="0.15">
      <c r="C13" s="16" t="e">
        <f>VLOOKUP(A13,#REF!,3,FALSE)</f>
        <v>#REF!</v>
      </c>
    </row>
    <row r="14" spans="1:8" x14ac:dyDescent="0.15">
      <c r="A14" t="s">
        <v>282</v>
      </c>
      <c r="B14" t="s">
        <v>283</v>
      </c>
      <c r="C14" s="16" t="e">
        <f>VLOOKUP(A14,#REF!,3,FALSE)</f>
        <v>#REF!</v>
      </c>
    </row>
    <row r="15" spans="1:8" x14ac:dyDescent="0.15">
      <c r="A15">
        <v>1312200440</v>
      </c>
      <c r="B15" t="s">
        <v>284</v>
      </c>
      <c r="C15" s="16" t="e">
        <f>VLOOKUP(A15,#REF!,3,FALSE)</f>
        <v>#REF!</v>
      </c>
      <c r="E15" s="15">
        <f>VLOOKUP(A15,'[1]תקציב 2012 נכון להיום'!$A$2:$E$1361,5,FALSE)</f>
        <v>18445</v>
      </c>
      <c r="F15" s="15">
        <v>0</v>
      </c>
      <c r="G15" s="15">
        <v>0</v>
      </c>
      <c r="H15" s="15">
        <v>0</v>
      </c>
    </row>
    <row r="16" spans="1:8" x14ac:dyDescent="0.15">
      <c r="A16">
        <v>1312200790</v>
      </c>
      <c r="B16" t="s">
        <v>285</v>
      </c>
      <c r="C16" s="16" t="e">
        <f>VLOOKUP(A16,#REF!,3,FALSE)</f>
        <v>#REF!</v>
      </c>
      <c r="E16" s="15">
        <f>VLOOKUP(A16,'[1]תקציב 2012 נכון להיום'!$A$2:$E$1361,5,FALSE)</f>
        <v>0</v>
      </c>
      <c r="F16" s="15">
        <v>343460</v>
      </c>
      <c r="G16" s="15">
        <v>0</v>
      </c>
      <c r="H16" s="15">
        <v>188200</v>
      </c>
    </row>
    <row r="17" spans="1:8" x14ac:dyDescent="0.15">
      <c r="A17">
        <v>1312500440</v>
      </c>
      <c r="B17" t="s">
        <v>286</v>
      </c>
      <c r="C17" s="16" t="e">
        <f>VLOOKUP(A17,#REF!,3,FALSE)</f>
        <v>#REF!</v>
      </c>
      <c r="E17" s="15">
        <f>VLOOKUP(A17,'[1]תקציב 2012 נכון להיום'!$A$2:$E$1361,5,FALSE)</f>
        <v>627063</v>
      </c>
      <c r="F17" s="15">
        <v>932710</v>
      </c>
      <c r="G17" s="15">
        <v>960942.8</v>
      </c>
      <c r="H17" s="15">
        <v>640711</v>
      </c>
    </row>
    <row r="18" spans="1:8" x14ac:dyDescent="0.15">
      <c r="A18">
        <v>1312501440</v>
      </c>
      <c r="B18" t="s">
        <v>287</v>
      </c>
      <c r="C18" s="16" t="e">
        <f>VLOOKUP(A18,#REF!,3,FALSE)</f>
        <v>#REF!</v>
      </c>
      <c r="E18" s="15">
        <f>VLOOKUP(A18,'[1]תקציב 2012 נכון להיום'!$A$2:$E$1361,5,FALSE)</f>
        <v>466243</v>
      </c>
      <c r="F18" s="15">
        <v>285000</v>
      </c>
      <c r="G18" s="15">
        <v>489055.8</v>
      </c>
      <c r="H18" s="15">
        <v>290900</v>
      </c>
    </row>
    <row r="19" spans="1:8" x14ac:dyDescent="0.15">
      <c r="A19">
        <v>1313201410</v>
      </c>
      <c r="B19" t="s">
        <v>288</v>
      </c>
      <c r="C19" s="16" t="e">
        <f>VLOOKUP(A19,#REF!,3,FALSE)</f>
        <v>#REF!</v>
      </c>
      <c r="E19" s="15">
        <f>VLOOKUP(A19,'[1]תקציב 2012 נכון להיום'!$A$2:$E$1361,5,FALSE)</f>
        <v>0</v>
      </c>
      <c r="F19" s="15">
        <v>50000</v>
      </c>
      <c r="G19" s="15">
        <v>0</v>
      </c>
      <c r="H19" s="15">
        <v>0</v>
      </c>
    </row>
    <row r="20" spans="1:8" x14ac:dyDescent="0.15">
      <c r="A20">
        <v>1313317410</v>
      </c>
      <c r="B20" t="s">
        <v>289</v>
      </c>
      <c r="C20" s="16" t="e">
        <f>VLOOKUP(A20,#REF!,3,FALSE)</f>
        <v>#REF!</v>
      </c>
      <c r="E20" s="15">
        <f>VLOOKUP(A20,'[1]תקציב 2012 נכון להיום'!$A$2:$E$1361,5,FALSE)</f>
        <v>1163302</v>
      </c>
      <c r="F20" s="15">
        <v>1050000</v>
      </c>
      <c r="G20" s="15">
        <v>848711</v>
      </c>
      <c r="H20" s="15">
        <v>1128846.1000000001</v>
      </c>
    </row>
    <row r="21" spans="1:8" x14ac:dyDescent="0.15">
      <c r="A21">
        <v>1315700700</v>
      </c>
      <c r="B21" t="s">
        <v>290</v>
      </c>
      <c r="C21" s="16" t="e">
        <f>VLOOKUP(A21,#REF!,3,FALSE)</f>
        <v>#REF!</v>
      </c>
      <c r="E21" s="15">
        <f>VLOOKUP(A21,'[1]תקציב 2012 נכון להיום'!$A$2:$E$1361,5,FALSE)</f>
        <v>12000000</v>
      </c>
      <c r="F21" s="15">
        <v>12000000</v>
      </c>
      <c r="G21" s="15">
        <v>0</v>
      </c>
      <c r="H21" s="15">
        <v>0</v>
      </c>
    </row>
    <row r="22" spans="1:8" x14ac:dyDescent="0.15">
      <c r="A22">
        <v>1315777700</v>
      </c>
      <c r="B22" t="s">
        <v>291</v>
      </c>
      <c r="C22" s="16" t="e">
        <f>VLOOKUP(A22,#REF!,3,FALSE)</f>
        <v>#REF!</v>
      </c>
      <c r="E22" s="15">
        <f>VLOOKUP(A22,'[1]תקציב 2012 נכון להיום'!$A$2:$E$1361,5,FALSE)</f>
        <v>16000000</v>
      </c>
      <c r="F22" s="15">
        <v>16000000</v>
      </c>
      <c r="G22" s="15">
        <v>0</v>
      </c>
      <c r="H22" s="15">
        <v>0</v>
      </c>
    </row>
    <row r="23" spans="1:8" x14ac:dyDescent="0.15">
      <c r="A23">
        <v>1315788700</v>
      </c>
      <c r="B23" t="s">
        <v>292</v>
      </c>
      <c r="C23" s="16" t="e">
        <f>VLOOKUP(A23,#REF!,3,FALSE)</f>
        <v>#REF!</v>
      </c>
      <c r="E23" s="15">
        <f>VLOOKUP(A23,'[1]תקציב 2012 נכון להיום'!$A$2:$E$1361,5,FALSE)</f>
        <v>7000000</v>
      </c>
      <c r="F23" s="15">
        <v>7000000</v>
      </c>
      <c r="G23" s="15">
        <v>0</v>
      </c>
      <c r="H23" s="15">
        <v>0</v>
      </c>
    </row>
    <row r="24" spans="1:8" x14ac:dyDescent="0.15">
      <c r="A24">
        <v>1317500410</v>
      </c>
      <c r="B24" t="s">
        <v>293</v>
      </c>
      <c r="C24" s="16" t="e">
        <f>VLOOKUP(A24,#REF!,3,FALSE)</f>
        <v>#REF!</v>
      </c>
      <c r="E24" s="15">
        <f>VLOOKUP(A24,'[1]תקציב 2012 נכון להיום'!$A$2:$E$1361,5,FALSE)</f>
        <v>172998</v>
      </c>
      <c r="F24" s="15">
        <v>168500</v>
      </c>
      <c r="G24" s="15">
        <v>167462</v>
      </c>
      <c r="H24" s="15">
        <v>166941</v>
      </c>
    </row>
    <row r="25" spans="1:8" x14ac:dyDescent="0.15">
      <c r="A25">
        <v>1317950790</v>
      </c>
      <c r="B25" t="s">
        <v>294</v>
      </c>
      <c r="C25" s="16" t="e">
        <f>VLOOKUP(A25,#REF!,3,FALSE)</f>
        <v>#REF!</v>
      </c>
      <c r="E25" s="15">
        <f>VLOOKUP(A25,'[1]תקציב 2012 נכון להיום'!$A$2:$E$1361,5,FALSE)</f>
        <v>166666</v>
      </c>
      <c r="F25" s="15">
        <v>500000</v>
      </c>
      <c r="G25" s="15">
        <v>0</v>
      </c>
      <c r="H25" s="15">
        <v>451307.72</v>
      </c>
    </row>
    <row r="26" spans="1:8" x14ac:dyDescent="0.15">
      <c r="C26" s="16" t="e">
        <f>VLOOKUP(A26,#REF!,3,FALSE)</f>
        <v>#REF!</v>
      </c>
    </row>
    <row r="27" spans="1:8" x14ac:dyDescent="0.15">
      <c r="A27" t="s">
        <v>295</v>
      </c>
      <c r="B27" t="s">
        <v>296</v>
      </c>
      <c r="C27" s="16" t="e">
        <f>VLOOKUP(A27,#REF!,3,FALSE)</f>
        <v>#REF!</v>
      </c>
    </row>
    <row r="28" spans="1:8" x14ac:dyDescent="0.15">
      <c r="A28">
        <v>1341000420</v>
      </c>
      <c r="B28" t="s">
        <v>297</v>
      </c>
      <c r="C28" s="16" t="e">
        <f>VLOOKUP(A28,#REF!,3,FALSE)</f>
        <v>#REF!</v>
      </c>
      <c r="E28" s="15">
        <f>VLOOKUP(A28,'[1]תקציב 2012 נכון להיום'!$A$2:$E$1361,5,FALSE)</f>
        <v>116920.87</v>
      </c>
      <c r="F28" s="15">
        <v>95420</v>
      </c>
      <c r="G28" s="15">
        <v>25279.13</v>
      </c>
      <c r="H28" s="15">
        <v>0</v>
      </c>
    </row>
    <row r="29" spans="1:8" x14ac:dyDescent="0.15">
      <c r="A29">
        <v>1343523410</v>
      </c>
      <c r="B29" t="s">
        <v>298</v>
      </c>
      <c r="C29" s="16" t="e">
        <f>VLOOKUP(A29,#REF!,3,FALSE)</f>
        <v>#REF!</v>
      </c>
      <c r="E29" s="15">
        <f>VLOOKUP(A29,'[1]תקציב 2012 נכון להיום'!$A$2:$E$1361,5,FALSE)</f>
        <v>59248</v>
      </c>
      <c r="F29" s="15">
        <v>50000</v>
      </c>
      <c r="G29" s="15">
        <v>66630</v>
      </c>
      <c r="H29" s="15">
        <v>63817</v>
      </c>
    </row>
    <row r="30" spans="1:8" x14ac:dyDescent="0.15">
      <c r="A30">
        <v>1343800420</v>
      </c>
      <c r="B30" t="s">
        <v>299</v>
      </c>
      <c r="C30" s="16" t="e">
        <f>VLOOKUP(A30,#REF!,3,FALSE)</f>
        <v>#REF!</v>
      </c>
      <c r="E30" s="15">
        <f>VLOOKUP(A30,'[1]תקציב 2012 נכון להיום'!$A$2:$E$1361,5,FALSE)</f>
        <v>35408.5</v>
      </c>
      <c r="F30" s="15">
        <v>150000</v>
      </c>
      <c r="G30" s="15">
        <v>70086.5</v>
      </c>
      <c r="H30" s="15">
        <v>42542</v>
      </c>
    </row>
    <row r="31" spans="1:8" x14ac:dyDescent="0.15">
      <c r="A31">
        <v>1344300420</v>
      </c>
      <c r="B31" t="s">
        <v>300</v>
      </c>
      <c r="C31" s="16" t="e">
        <f>VLOOKUP(A31,#REF!,3,FALSE)</f>
        <v>#REF!</v>
      </c>
      <c r="E31" s="15">
        <f>VLOOKUP(A31,'[1]תקציב 2012 נכון להיום'!$A$2:$E$1361,5,FALSE)</f>
        <v>459039.1</v>
      </c>
      <c r="F31" s="15">
        <v>650000</v>
      </c>
      <c r="G31" s="15">
        <v>567850.1</v>
      </c>
      <c r="H31" s="15">
        <v>524148</v>
      </c>
    </row>
    <row r="32" spans="1:8" x14ac:dyDescent="0.15">
      <c r="A32">
        <v>1344300421</v>
      </c>
      <c r="B32" t="s">
        <v>301</v>
      </c>
      <c r="C32" s="16" t="e">
        <f>VLOOKUP(A32,#REF!,3,FALSE)</f>
        <v>#REF!</v>
      </c>
      <c r="E32" s="15">
        <f>VLOOKUP(A32,'[1]תקציב 2012 נכון להיום'!$A$2:$E$1361,5,FALSE)</f>
        <v>7442</v>
      </c>
      <c r="F32" s="15">
        <v>10000</v>
      </c>
      <c r="G32" s="15">
        <v>13230.5</v>
      </c>
      <c r="H32" s="15">
        <v>12798.9</v>
      </c>
    </row>
    <row r="33" spans="1:8" x14ac:dyDescent="0.15">
      <c r="A33">
        <v>1344500420</v>
      </c>
      <c r="B33" t="s">
        <v>302</v>
      </c>
      <c r="C33" s="16" t="e">
        <f>VLOOKUP(A33,#REF!,3,FALSE)</f>
        <v>#REF!</v>
      </c>
      <c r="E33" s="15">
        <f>VLOOKUP(A33,'[1]תקציב 2012 נכון להיום'!$A$2:$E$1361,5,FALSE)</f>
        <v>68135</v>
      </c>
      <c r="F33" s="15">
        <v>85000</v>
      </c>
      <c r="G33" s="15">
        <v>79632</v>
      </c>
      <c r="H33" s="15">
        <v>99655</v>
      </c>
    </row>
    <row r="34" spans="1:8" x14ac:dyDescent="0.15">
      <c r="A34">
        <v>1345523410</v>
      </c>
      <c r="B34" t="s">
        <v>298</v>
      </c>
      <c r="C34" s="16" t="e">
        <f>VLOOKUP(A34,#REF!,3,FALSE)</f>
        <v>#REF!</v>
      </c>
      <c r="E34" s="15">
        <f>VLOOKUP(A34,'[1]תקציב 2012 נכון להיום'!$A$2:$E$1361,5,FALSE)</f>
        <v>21469</v>
      </c>
      <c r="F34" s="15">
        <v>30000</v>
      </c>
      <c r="G34" s="15">
        <v>29012</v>
      </c>
      <c r="H34" s="15">
        <v>146306</v>
      </c>
    </row>
    <row r="35" spans="1:8" x14ac:dyDescent="0.15">
      <c r="A35">
        <v>1346700420</v>
      </c>
      <c r="B35" t="s">
        <v>303</v>
      </c>
      <c r="C35" s="16" t="e">
        <f>VLOOKUP(A35,#REF!,3,FALSE)</f>
        <v>#REF!</v>
      </c>
      <c r="E35" s="15">
        <f>VLOOKUP(A35,'[1]תקציב 2012 נכון להיום'!$A$2:$E$1361,5,FALSE)</f>
        <v>29846</v>
      </c>
      <c r="F35" s="15">
        <v>40000</v>
      </c>
      <c r="G35" s="15">
        <v>58363</v>
      </c>
      <c r="H35" s="15">
        <v>61074.7</v>
      </c>
    </row>
    <row r="36" spans="1:8" x14ac:dyDescent="0.15">
      <c r="A36">
        <v>1348801420</v>
      </c>
      <c r="B36" t="s">
        <v>304</v>
      </c>
      <c r="C36" s="16" t="e">
        <f>VLOOKUP(A36,#REF!,3,FALSE)</f>
        <v>#REF!</v>
      </c>
      <c r="E36" s="15">
        <f>VLOOKUP(A36,'[1]תקציב 2012 נכון להיום'!$A$2:$E$1361,5,FALSE)</f>
        <v>60000</v>
      </c>
      <c r="F36" s="15">
        <v>142200</v>
      </c>
      <c r="G36" s="15">
        <v>22500</v>
      </c>
      <c r="H36" s="15">
        <v>0</v>
      </c>
    </row>
    <row r="37" spans="1:8" x14ac:dyDescent="0.15">
      <c r="C37" s="16" t="e">
        <f>VLOOKUP(A37,#REF!,3,FALSE)</f>
        <v>#REF!</v>
      </c>
    </row>
    <row r="38" spans="1:8" x14ac:dyDescent="0.15">
      <c r="A38" t="s">
        <v>305</v>
      </c>
      <c r="B38" t="s">
        <v>306</v>
      </c>
      <c r="C38" s="16" t="e">
        <f>VLOOKUP(A38,#REF!,3,FALSE)</f>
        <v>#REF!</v>
      </c>
    </row>
    <row r="39" spans="1:8" x14ac:dyDescent="0.15">
      <c r="A39">
        <v>1121000220</v>
      </c>
      <c r="B39" t="s">
        <v>307</v>
      </c>
      <c r="C39" s="16" t="e">
        <f>VLOOKUP(A39,#REF!,3,FALSE)</f>
        <v>#REF!</v>
      </c>
      <c r="E39" s="15">
        <f>VLOOKUP(A39,'[1]תקציב 2012 נכון להיום'!$A$2:$E$1361,5,FALSE)</f>
        <v>0</v>
      </c>
      <c r="F39" s="15">
        <v>18000</v>
      </c>
      <c r="G39" s="15">
        <v>124</v>
      </c>
      <c r="H39" s="15">
        <v>0</v>
      </c>
    </row>
    <row r="40" spans="1:8" x14ac:dyDescent="0.15">
      <c r="A40">
        <v>1122000220</v>
      </c>
      <c r="B40" t="s">
        <v>308</v>
      </c>
      <c r="C40" s="16" t="e">
        <f>VLOOKUP(A40,#REF!,3,FALSE)</f>
        <v>#REF!</v>
      </c>
      <c r="E40" s="15">
        <f>VLOOKUP(A40,'[1]תקציב 2012 נכון להיום'!$A$2:$E$1361,5,FALSE)</f>
        <v>1190173.1299999999</v>
      </c>
      <c r="F40" s="15">
        <v>1550000</v>
      </c>
      <c r="G40" s="15">
        <v>1351320.54</v>
      </c>
      <c r="H40" s="15">
        <v>1429238.18</v>
      </c>
    </row>
    <row r="41" spans="1:8" x14ac:dyDescent="0.15">
      <c r="A41">
        <v>1124100220</v>
      </c>
      <c r="B41" t="s">
        <v>309</v>
      </c>
      <c r="C41" s="16" t="e">
        <f>VLOOKUP(A41,#REF!,3,FALSE)</f>
        <v>#REF!</v>
      </c>
      <c r="E41" s="15">
        <f>VLOOKUP(A41,'[1]תקציב 2012 נכון להיום'!$A$2:$E$1361,5,FALSE)</f>
        <v>2183</v>
      </c>
      <c r="F41" s="15">
        <v>7000</v>
      </c>
      <c r="G41" s="15">
        <v>2187</v>
      </c>
      <c r="H41" s="15">
        <v>3616</v>
      </c>
    </row>
    <row r="42" spans="1:8" x14ac:dyDescent="0.15">
      <c r="A42">
        <v>1129100220</v>
      </c>
      <c r="B42" t="s">
        <v>310</v>
      </c>
      <c r="C42" s="16" t="e">
        <f>VLOOKUP(A42,#REF!,3,FALSE)</f>
        <v>#REF!</v>
      </c>
      <c r="E42" s="15">
        <f>VLOOKUP(A42,'[1]תקציב 2012 נכון להיום'!$A$2:$E$1361,5,FALSE)</f>
        <v>5741.59</v>
      </c>
      <c r="F42" s="15">
        <v>28000</v>
      </c>
      <c r="G42" s="15">
        <v>7345.96</v>
      </c>
      <c r="H42" s="15">
        <v>12057.64</v>
      </c>
    </row>
    <row r="43" spans="1:8" x14ac:dyDescent="0.15">
      <c r="A43">
        <v>1129100221</v>
      </c>
      <c r="B43" t="s">
        <v>311</v>
      </c>
      <c r="C43" s="16" t="e">
        <f>VLOOKUP(A43,#REF!,3,FALSE)</f>
        <v>#REF!</v>
      </c>
      <c r="E43" s="15">
        <f>VLOOKUP(A43,'[1]תקציב 2012 נכון להיום'!$A$2:$E$1361,5,FALSE)</f>
        <v>299777.53000000003</v>
      </c>
      <c r="F43" s="15">
        <v>250000</v>
      </c>
      <c r="G43" s="15">
        <v>291375.12</v>
      </c>
      <c r="H43" s="15">
        <v>250426.07</v>
      </c>
    </row>
    <row r="44" spans="1:8" x14ac:dyDescent="0.15">
      <c r="A44">
        <v>1160000662</v>
      </c>
      <c r="B44" t="s">
        <v>312</v>
      </c>
      <c r="C44" s="16" t="e">
        <f>VLOOKUP(A44,#REF!,3,FALSE)</f>
        <v>#REF!</v>
      </c>
      <c r="E44" s="15">
        <f>VLOOKUP(A44,'[1]תקציב 2012 נכון להיום'!$A$2:$E$1361,5,FALSE)</f>
        <v>1326049.76</v>
      </c>
      <c r="F44" s="15">
        <v>3500000</v>
      </c>
      <c r="G44" s="15">
        <v>331473.2</v>
      </c>
      <c r="H44" s="15">
        <v>454639.95</v>
      </c>
    </row>
    <row r="45" spans="1:8" x14ac:dyDescent="0.15">
      <c r="A45">
        <v>1212300690</v>
      </c>
      <c r="B45" t="s">
        <v>313</v>
      </c>
      <c r="C45" s="16" t="e">
        <f>VLOOKUP(A45,#REF!,3,FALSE)</f>
        <v>#REF!</v>
      </c>
      <c r="E45" s="15">
        <f>VLOOKUP(A45,'[1]תקציב 2012 נכון להיום'!$A$2:$E$1361,5,FALSE)</f>
        <v>17000</v>
      </c>
      <c r="F45" s="15">
        <v>8000</v>
      </c>
      <c r="G45" s="15">
        <v>3000</v>
      </c>
      <c r="H45" s="15">
        <v>8286.5</v>
      </c>
    </row>
    <row r="46" spans="1:8" x14ac:dyDescent="0.15">
      <c r="A46">
        <v>1212400220</v>
      </c>
      <c r="B46" t="s">
        <v>314</v>
      </c>
      <c r="C46" s="16" t="e">
        <f>VLOOKUP(A46,#REF!,3,FALSE)</f>
        <v>#REF!</v>
      </c>
      <c r="E46" s="15">
        <f>VLOOKUP(A46,'[1]תקציב 2012 נכון להיום'!$A$2:$E$1361,5,FALSE)</f>
        <v>527559.94999999995</v>
      </c>
      <c r="F46" s="15">
        <v>700000</v>
      </c>
      <c r="G46" s="15">
        <v>538929.30000000005</v>
      </c>
      <c r="H46" s="15">
        <v>308144.39</v>
      </c>
    </row>
    <row r="47" spans="1:8" x14ac:dyDescent="0.15">
      <c r="A47">
        <v>1212400221</v>
      </c>
      <c r="B47" t="s">
        <v>315</v>
      </c>
      <c r="C47" s="16" t="e">
        <f>VLOOKUP(A47,#REF!,3,FALSE)</f>
        <v>#REF!</v>
      </c>
      <c r="E47" s="15">
        <f>VLOOKUP(A47,'[1]תקציב 2012 נכון להיום'!$A$2:$E$1361,5,FALSE)</f>
        <v>3206.54</v>
      </c>
      <c r="F47" s="15">
        <v>0</v>
      </c>
      <c r="G47" s="15">
        <v>0</v>
      </c>
      <c r="H47" s="15">
        <v>0</v>
      </c>
    </row>
    <row r="48" spans="1:8" x14ac:dyDescent="0.15">
      <c r="A48">
        <v>1213000220</v>
      </c>
      <c r="B48" t="s">
        <v>316</v>
      </c>
      <c r="C48" s="16" t="e">
        <f>VLOOKUP(A48,#REF!,3,FALSE)</f>
        <v>#REF!</v>
      </c>
      <c r="E48" s="15">
        <f>VLOOKUP(A48,'[1]תקציב 2012 נכון להיום'!$A$2:$E$1361,5,FALSE)</f>
        <v>37153</v>
      </c>
      <c r="F48" s="15">
        <v>41000</v>
      </c>
      <c r="G48" s="15">
        <v>46022.59</v>
      </c>
      <c r="H48" s="15">
        <v>34129.480000000003</v>
      </c>
    </row>
    <row r="49" spans="1:8" x14ac:dyDescent="0.15">
      <c r="A49">
        <v>1214200221</v>
      </c>
      <c r="B49" t="s">
        <v>317</v>
      </c>
      <c r="C49" s="16" t="e">
        <f>VLOOKUP(A49,#REF!,3,FALSE)</f>
        <v>#REF!</v>
      </c>
      <c r="E49" s="15">
        <f>VLOOKUP(A49,'[1]תקציב 2012 נכון להיום'!$A$2:$E$1361,5,FALSE)</f>
        <v>40569</v>
      </c>
      <c r="F49" s="15">
        <v>102000</v>
      </c>
      <c r="G49" s="15">
        <v>117237</v>
      </c>
      <c r="H49" s="15">
        <v>151340.16</v>
      </c>
    </row>
    <row r="50" spans="1:8" x14ac:dyDescent="0.15">
      <c r="A50">
        <v>1214300220</v>
      </c>
      <c r="B50" t="s">
        <v>318</v>
      </c>
      <c r="C50" s="16" t="e">
        <f>VLOOKUP(A50,#REF!,3,FALSE)</f>
        <v>#REF!</v>
      </c>
      <c r="E50" s="15">
        <f>VLOOKUP(A50,'[1]תקציב 2012 נכון להיום'!$A$2:$E$1361,5,FALSE)</f>
        <v>82476.5</v>
      </c>
      <c r="F50" s="15">
        <v>113000</v>
      </c>
      <c r="G50" s="15">
        <v>119083.35</v>
      </c>
      <c r="H50" s="15">
        <v>130514.65</v>
      </c>
    </row>
    <row r="51" spans="1:8" x14ac:dyDescent="0.15">
      <c r="A51">
        <v>1214301220</v>
      </c>
      <c r="B51" t="s">
        <v>319</v>
      </c>
      <c r="C51" s="16" t="e">
        <f>VLOOKUP(A51,#REF!,3,FALSE)</f>
        <v>#REF!</v>
      </c>
      <c r="E51" s="15">
        <f>VLOOKUP(A51,'[1]תקציב 2012 נכון להיום'!$A$2:$E$1361,5,FALSE)</f>
        <v>22318</v>
      </c>
      <c r="F51" s="15">
        <v>40000</v>
      </c>
      <c r="G51" s="15">
        <v>39774.5</v>
      </c>
      <c r="H51" s="15">
        <v>65082.8</v>
      </c>
    </row>
    <row r="52" spans="1:8" x14ac:dyDescent="0.15">
      <c r="A52">
        <v>1222000440</v>
      </c>
      <c r="B52" t="s">
        <v>320</v>
      </c>
      <c r="C52" s="16" t="e">
        <f>VLOOKUP(A52,#REF!,3,FALSE)</f>
        <v>#REF!</v>
      </c>
      <c r="E52" s="15">
        <f>VLOOKUP(A52,'[1]תקציב 2012 נכון להיום'!$A$2:$E$1361,5,FALSE)</f>
        <v>30340</v>
      </c>
      <c r="F52" s="15">
        <v>14000</v>
      </c>
      <c r="G52" s="15">
        <v>9960</v>
      </c>
      <c r="H52" s="15">
        <v>78350.8</v>
      </c>
    </row>
    <row r="53" spans="1:8" x14ac:dyDescent="0.15">
      <c r="A53">
        <v>1222100400</v>
      </c>
      <c r="B53" t="s">
        <v>321</v>
      </c>
      <c r="C53" s="16" t="e">
        <f>VLOOKUP(A53,#REF!,3,FALSE)</f>
        <v>#REF!</v>
      </c>
      <c r="E53" s="15">
        <f>VLOOKUP(A53,'[1]תקציב 2012 נכון להיום'!$A$2:$E$1361,5,FALSE)</f>
        <v>206748.47</v>
      </c>
      <c r="F53" s="15">
        <v>220000</v>
      </c>
      <c r="G53" s="15">
        <v>260825.52</v>
      </c>
      <c r="H53" s="15">
        <v>0</v>
      </c>
    </row>
    <row r="54" spans="1:8" x14ac:dyDescent="0.15">
      <c r="A54">
        <v>1222100440</v>
      </c>
      <c r="B54" t="s">
        <v>322</v>
      </c>
      <c r="C54" s="16" t="e">
        <f>VLOOKUP(A54,#REF!,3,FALSE)</f>
        <v>#REF!</v>
      </c>
      <c r="E54" s="15">
        <f>VLOOKUP(A54,'[1]תקציב 2012 נכון להיום'!$A$2:$E$1361,5,FALSE)</f>
        <v>1446162.97</v>
      </c>
      <c r="F54" s="15">
        <v>1952233</v>
      </c>
      <c r="G54" s="15">
        <v>1591472.86</v>
      </c>
      <c r="H54" s="15">
        <v>1536756.96</v>
      </c>
    </row>
    <row r="55" spans="1:8" x14ac:dyDescent="0.15">
      <c r="A55">
        <v>1233000690</v>
      </c>
      <c r="B55" t="s">
        <v>323</v>
      </c>
      <c r="C55" s="16" t="e">
        <f>VLOOKUP(A55,#REF!,3,FALSE)</f>
        <v>#REF!</v>
      </c>
      <c r="E55" s="15">
        <f>VLOOKUP(A55,'[1]תקציב 2012 נכון להיום'!$A$2:$E$1361,5,FALSE)</f>
        <v>6139</v>
      </c>
      <c r="F55" s="15">
        <v>8000</v>
      </c>
      <c r="G55" s="15">
        <v>7438</v>
      </c>
      <c r="H55" s="15">
        <v>7772.12</v>
      </c>
    </row>
    <row r="56" spans="1:8" x14ac:dyDescent="0.15">
      <c r="A56">
        <v>1233100220</v>
      </c>
      <c r="B56" t="s">
        <v>324</v>
      </c>
      <c r="C56" s="16" t="e">
        <f>VLOOKUP(A56,#REF!,3,FALSE)</f>
        <v>#REF!</v>
      </c>
      <c r="E56" s="15">
        <f>VLOOKUP(A56,'[1]תקציב 2012 נכון להיום'!$A$2:$E$1361,5,FALSE)</f>
        <v>2094229.5</v>
      </c>
      <c r="F56" s="15">
        <v>1350000</v>
      </c>
      <c r="G56" s="15">
        <v>1311500.3</v>
      </c>
      <c r="H56" s="15">
        <v>3480001.53</v>
      </c>
    </row>
    <row r="57" spans="1:8" x14ac:dyDescent="0.15">
      <c r="A57">
        <v>1233200290</v>
      </c>
      <c r="B57" t="s">
        <v>325</v>
      </c>
      <c r="C57" s="16" t="e">
        <f>VLOOKUP(A57,#REF!,3,FALSE)</f>
        <v>#REF!</v>
      </c>
      <c r="E57" s="15">
        <f>VLOOKUP(A57,'[1]תקציב 2012 נכון להיום'!$A$2:$E$1361,5,FALSE)</f>
        <v>414026.7</v>
      </c>
      <c r="F57" s="15">
        <v>2500000</v>
      </c>
      <c r="G57" s="15">
        <v>3285487.16</v>
      </c>
      <c r="H57" s="15">
        <v>0</v>
      </c>
    </row>
    <row r="58" spans="1:8" x14ac:dyDescent="0.15">
      <c r="A58">
        <v>1233300290</v>
      </c>
      <c r="B58" t="s">
        <v>326</v>
      </c>
      <c r="C58" s="16" t="e">
        <f>VLOOKUP(A58,#REF!,3,FALSE)</f>
        <v>#REF!</v>
      </c>
      <c r="E58" s="15">
        <f>VLOOKUP(A58,'[1]תקציב 2012 נכון להיום'!$A$2:$E$1361,5,FALSE)</f>
        <v>245</v>
      </c>
      <c r="F58" s="15">
        <v>1500</v>
      </c>
      <c r="G58" s="15">
        <v>11795</v>
      </c>
      <c r="H58" s="15">
        <v>305</v>
      </c>
    </row>
    <row r="59" spans="1:8" x14ac:dyDescent="0.15">
      <c r="A59">
        <v>1242000215</v>
      </c>
      <c r="B59" t="s">
        <v>327</v>
      </c>
      <c r="C59" s="16" t="e">
        <f>VLOOKUP(A59,#REF!,3,FALSE)</f>
        <v>#REF!</v>
      </c>
      <c r="E59" s="15">
        <f>VLOOKUP(A59,'[1]תקציב 2012 נכון להיום'!$A$2:$E$1361,5,FALSE)</f>
        <v>0</v>
      </c>
      <c r="F59" s="15">
        <v>18000</v>
      </c>
      <c r="G59" s="15">
        <v>0</v>
      </c>
      <c r="H59" s="15">
        <v>0</v>
      </c>
    </row>
    <row r="60" spans="1:8" x14ac:dyDescent="0.15">
      <c r="A60">
        <v>1242000220</v>
      </c>
      <c r="B60" t="s">
        <v>328</v>
      </c>
      <c r="C60" s="16" t="e">
        <f>VLOOKUP(A60,#REF!,3,FALSE)</f>
        <v>#REF!</v>
      </c>
      <c r="E60" s="15">
        <f>VLOOKUP(A60,'[1]תקציב 2012 נכון להיום'!$A$2:$E$1361,5,FALSE)</f>
        <v>120678.57</v>
      </c>
      <c r="F60" s="15">
        <v>140000</v>
      </c>
      <c r="G60" s="15">
        <v>138970.64000000001</v>
      </c>
      <c r="H60" s="15">
        <v>141114.82999999999</v>
      </c>
    </row>
    <row r="61" spans="1:8" x14ac:dyDescent="0.15">
      <c r="A61">
        <v>1242000690</v>
      </c>
      <c r="B61" t="s">
        <v>329</v>
      </c>
      <c r="C61" s="16" t="e">
        <f>VLOOKUP(A61,#REF!,3,FALSE)</f>
        <v>#REF!</v>
      </c>
      <c r="E61" s="15">
        <f>VLOOKUP(A61,'[1]תקציב 2012 נכון להיום'!$A$2:$E$1361,5,FALSE)</f>
        <v>32000</v>
      </c>
      <c r="F61" s="15">
        <v>18000</v>
      </c>
      <c r="G61" s="15">
        <v>9500</v>
      </c>
      <c r="H61" s="15">
        <v>19031</v>
      </c>
    </row>
    <row r="62" spans="1:8" x14ac:dyDescent="0.15">
      <c r="A62">
        <v>1261000421</v>
      </c>
      <c r="B62" t="s">
        <v>330</v>
      </c>
      <c r="C62" s="16" t="e">
        <f>VLOOKUP(A62,#REF!,3,FALSE)</f>
        <v>#REF!</v>
      </c>
      <c r="E62" s="15">
        <f>VLOOKUP(A62,'[1]תקציב 2012 נכון להיום'!$A$2:$E$1361,5,FALSE)</f>
        <v>87500</v>
      </c>
      <c r="F62" s="15">
        <v>150000</v>
      </c>
      <c r="G62" s="15">
        <v>150000</v>
      </c>
      <c r="H62" s="15">
        <v>125000</v>
      </c>
    </row>
    <row r="63" spans="1:8" x14ac:dyDescent="0.15">
      <c r="A63">
        <v>1269000790</v>
      </c>
      <c r="B63" t="s">
        <v>331</v>
      </c>
      <c r="C63" s="16" t="e">
        <f>VLOOKUP(A63,#REF!,3,FALSE)</f>
        <v>#REF!</v>
      </c>
      <c r="E63" s="15">
        <f>VLOOKUP(A63,'[1]תקציב 2012 נכון להיום'!$A$2:$E$1361,5,FALSE)</f>
        <v>80889.88</v>
      </c>
      <c r="F63" s="15">
        <v>120000</v>
      </c>
      <c r="G63" s="15">
        <v>155813.22</v>
      </c>
      <c r="H63" s="15">
        <v>120498.89</v>
      </c>
    </row>
    <row r="64" spans="1:8" x14ac:dyDescent="0.15">
      <c r="A64">
        <v>1281000215</v>
      </c>
      <c r="B64" t="s">
        <v>332</v>
      </c>
      <c r="C64" s="16" t="e">
        <f>VLOOKUP(A64,#REF!,3,FALSE)</f>
        <v>#REF!</v>
      </c>
      <c r="E64" s="15">
        <f>VLOOKUP(A64,'[1]תקציב 2012 נכון להיום'!$A$2:$E$1361,5,FALSE)</f>
        <v>54509.43</v>
      </c>
      <c r="F64" s="15">
        <v>50000</v>
      </c>
      <c r="G64" s="15">
        <v>43073.27</v>
      </c>
      <c r="H64" s="15">
        <v>60568.92</v>
      </c>
    </row>
    <row r="65" spans="1:8" ht="14" thickBot="1" x14ac:dyDescent="0.2">
      <c r="A65">
        <v>1282000490</v>
      </c>
      <c r="B65" t="s">
        <v>333</v>
      </c>
      <c r="C65" s="16" t="e">
        <f>VLOOKUP(A65,#REF!,3,FALSE)</f>
        <v>#REF!</v>
      </c>
      <c r="E65" s="15">
        <f>VLOOKUP(A65,'[1]תקציב 2012 נכון להיום'!$A$2:$E$1361,5,FALSE)</f>
        <v>387588.7</v>
      </c>
      <c r="F65" s="15">
        <v>50000</v>
      </c>
      <c r="G65" s="15">
        <v>589036.44999999995</v>
      </c>
      <c r="H65" s="15">
        <v>429720.32000000001</v>
      </c>
    </row>
    <row r="66" spans="1:8" x14ac:dyDescent="0.15">
      <c r="A66">
        <v>1322000410</v>
      </c>
      <c r="B66" t="s">
        <v>334</v>
      </c>
      <c r="C66" s="16" t="e">
        <f>VLOOKUP(A66,#REF!,3,FALSE)</f>
        <v>#REF!</v>
      </c>
      <c r="D66" s="340" t="s">
        <v>1109</v>
      </c>
      <c r="E66" s="15">
        <f>VLOOKUP(A66,'[1]תקציב 2012 נכון להיום'!$A$2:$E$1361,5,FALSE)</f>
        <v>0</v>
      </c>
      <c r="F66" s="15">
        <v>280000</v>
      </c>
      <c r="G66" s="15">
        <v>0</v>
      </c>
      <c r="H66" s="15">
        <v>0</v>
      </c>
    </row>
    <row r="67" spans="1:8" x14ac:dyDescent="0.15">
      <c r="A67">
        <v>1322000411</v>
      </c>
      <c r="B67" t="s">
        <v>335</v>
      </c>
      <c r="C67" s="16" t="e">
        <f>VLOOKUP(A67,#REF!,3,FALSE)</f>
        <v>#REF!</v>
      </c>
      <c r="D67" s="341"/>
      <c r="E67" s="15">
        <f>VLOOKUP(A67,'[1]תקציב 2012 נכון להיום'!$A$2:$E$1361,5,FALSE)</f>
        <v>14875</v>
      </c>
      <c r="F67" s="15">
        <v>140000</v>
      </c>
      <c r="G67" s="15">
        <v>0</v>
      </c>
      <c r="H67" s="15">
        <v>0</v>
      </c>
    </row>
    <row r="68" spans="1:8" x14ac:dyDescent="0.15">
      <c r="A68">
        <v>1322000740</v>
      </c>
      <c r="B68" t="s">
        <v>336</v>
      </c>
      <c r="C68" s="16" t="e">
        <f>VLOOKUP(A68,#REF!,3,FALSE)</f>
        <v>#REF!</v>
      </c>
      <c r="D68" s="341"/>
      <c r="E68" s="15">
        <f>VLOOKUP(A68,'[1]תקציב 2012 נכון להיום'!$A$2:$E$1361,5,FALSE)</f>
        <v>0</v>
      </c>
      <c r="F68" s="15">
        <v>150000</v>
      </c>
      <c r="G68" s="15">
        <v>0</v>
      </c>
      <c r="H68" s="15">
        <v>0</v>
      </c>
    </row>
    <row r="69" spans="1:8" x14ac:dyDescent="0.15">
      <c r="A69">
        <v>1322000790</v>
      </c>
      <c r="B69" t="s">
        <v>337</v>
      </c>
      <c r="C69" s="16" t="e">
        <f>VLOOKUP(A69,#REF!,3,FALSE)</f>
        <v>#REF!</v>
      </c>
      <c r="D69" s="341"/>
      <c r="E69" s="15">
        <f>VLOOKUP(A69,'[1]תקציב 2012 נכון להיום'!$A$2:$E$1361,5,FALSE)</f>
        <v>0</v>
      </c>
      <c r="F69" s="15">
        <v>170000</v>
      </c>
      <c r="G69" s="15">
        <v>0</v>
      </c>
      <c r="H69" s="15">
        <v>0</v>
      </c>
    </row>
    <row r="70" spans="1:8" x14ac:dyDescent="0.15">
      <c r="A70">
        <v>1323000420</v>
      </c>
      <c r="B70" t="s">
        <v>338</v>
      </c>
      <c r="C70" s="16" t="e">
        <f>VLOOKUP(A70,#REF!,3,FALSE)</f>
        <v>#REF!</v>
      </c>
      <c r="D70" s="341"/>
      <c r="E70" s="15">
        <f>VLOOKUP(A70,'[1]תקציב 2012 נכון להיום'!$A$2:$E$1361,5,FALSE)</f>
        <v>14069</v>
      </c>
      <c r="F70" s="15">
        <v>21000</v>
      </c>
      <c r="G70" s="15">
        <v>18691</v>
      </c>
      <c r="H70" s="15">
        <v>22263.5</v>
      </c>
    </row>
    <row r="71" spans="1:8" x14ac:dyDescent="0.15">
      <c r="A71">
        <v>1325200220</v>
      </c>
      <c r="B71" t="s">
        <v>339</v>
      </c>
      <c r="C71" s="16" t="e">
        <f>VLOOKUP(A71,#REF!,3,FALSE)</f>
        <v>#REF!</v>
      </c>
      <c r="D71" s="341"/>
      <c r="E71" s="15">
        <f>VLOOKUP(A71,'[1]תקציב 2012 נכון להיום'!$A$2:$E$1361,5,FALSE)</f>
        <v>824111.76</v>
      </c>
      <c r="F71" s="15">
        <v>1400000</v>
      </c>
      <c r="G71" s="15">
        <v>1323182.1599999999</v>
      </c>
      <c r="H71" s="15">
        <v>1354304.14</v>
      </c>
    </row>
    <row r="72" spans="1:8" x14ac:dyDescent="0.15">
      <c r="A72">
        <v>1325200410</v>
      </c>
      <c r="B72" t="s">
        <v>340</v>
      </c>
      <c r="C72" s="16" t="e">
        <f>VLOOKUP(A72,#REF!,3,FALSE)</f>
        <v>#REF!</v>
      </c>
      <c r="D72" s="341"/>
      <c r="E72" s="15">
        <f>VLOOKUP(A72,'[1]תקציב 2012 נכון להיום'!$A$2:$E$1361,5,FALSE)</f>
        <v>15620</v>
      </c>
      <c r="F72" s="15">
        <v>50000</v>
      </c>
      <c r="G72" s="15">
        <v>77587</v>
      </c>
      <c r="H72" s="15">
        <v>0</v>
      </c>
    </row>
    <row r="73" spans="1:8" ht="14" thickBot="1" x14ac:dyDescent="0.2">
      <c r="A73">
        <v>1325200700</v>
      </c>
      <c r="B73" t="s">
        <v>341</v>
      </c>
      <c r="C73" s="16" t="e">
        <f>VLOOKUP(A73,#REF!,3,FALSE)</f>
        <v>#REF!</v>
      </c>
      <c r="D73" s="342"/>
      <c r="E73" s="15">
        <f>VLOOKUP(A73,'[1]תקציב 2012 נכון להיום'!$A$2:$E$1361,5,FALSE)</f>
        <v>249406</v>
      </c>
      <c r="F73" s="15">
        <v>249406</v>
      </c>
      <c r="G73" s="15">
        <v>80000</v>
      </c>
      <c r="H73" s="15">
        <v>0</v>
      </c>
    </row>
    <row r="74" spans="1:8" x14ac:dyDescent="0.15">
      <c r="A74">
        <v>1360000410</v>
      </c>
      <c r="B74" t="s">
        <v>342</v>
      </c>
      <c r="C74" s="16" t="e">
        <f>VLOOKUP(A74,#REF!,3,FALSE)</f>
        <v>#REF!</v>
      </c>
      <c r="D74" s="17"/>
      <c r="E74" s="15">
        <f>VLOOKUP(A74,'[1]תקציב 2012 נכון להיום'!$A$2:$E$1361,5,FALSE)</f>
        <v>15380</v>
      </c>
      <c r="F74" s="15">
        <v>31670</v>
      </c>
      <c r="G74" s="15">
        <v>0</v>
      </c>
      <c r="H74" s="15">
        <v>0</v>
      </c>
    </row>
    <row r="75" spans="1:8" x14ac:dyDescent="0.15">
      <c r="A75">
        <v>1413100221</v>
      </c>
      <c r="B75" t="s">
        <v>343</v>
      </c>
      <c r="C75" s="16" t="e">
        <f>VLOOKUP(A75,#REF!,3,FALSE)</f>
        <v>#REF!</v>
      </c>
      <c r="E75" s="15">
        <f>VLOOKUP(A75,'[1]תקציב 2012 נכון להיום'!$A$2:$E$1361,5,FALSE)</f>
        <v>2700.69</v>
      </c>
      <c r="F75" s="15">
        <v>10000</v>
      </c>
      <c r="G75" s="15">
        <v>4351.03</v>
      </c>
      <c r="H75" s="15">
        <v>39361.29</v>
      </c>
    </row>
    <row r="76" spans="1:8" x14ac:dyDescent="0.15">
      <c r="A76">
        <v>1433000215</v>
      </c>
      <c r="B76" t="s">
        <v>344</v>
      </c>
      <c r="C76" s="16" t="e">
        <f>VLOOKUP(A76,#REF!,3,FALSE)</f>
        <v>#REF!</v>
      </c>
      <c r="E76" s="15">
        <f>VLOOKUP(A76,'[1]תקציב 2012 נכון להיום'!$A$2:$E$1361,5,FALSE)</f>
        <v>47960.4</v>
      </c>
      <c r="F76" s="15">
        <v>120000</v>
      </c>
      <c r="G76" s="15">
        <v>27686</v>
      </c>
      <c r="H76" s="15">
        <v>115125.46</v>
      </c>
    </row>
    <row r="77" spans="1:8" x14ac:dyDescent="0.15">
      <c r="A77">
        <v>1433000641</v>
      </c>
      <c r="B77" t="s">
        <v>345</v>
      </c>
      <c r="C77" s="16" t="e">
        <f>VLOOKUP(A77,#REF!,3,FALSE)</f>
        <v>#REF!</v>
      </c>
      <c r="E77" s="15">
        <f>VLOOKUP(A77,'[1]תקציב 2012 נכון להיום'!$A$2:$E$1361,5,FALSE)</f>
        <v>501359.68</v>
      </c>
      <c r="F77" s="15">
        <v>200000</v>
      </c>
      <c r="G77" s="15">
        <v>98449.7</v>
      </c>
      <c r="H77" s="15">
        <v>92366.8</v>
      </c>
    </row>
    <row r="78" spans="1:8" ht="14" thickBot="1" x14ac:dyDescent="0.2">
      <c r="A78">
        <v>1433000642</v>
      </c>
      <c r="B78" t="s">
        <v>346</v>
      </c>
      <c r="C78" s="16" t="e">
        <f>VLOOKUP(A78,#REF!,3,FALSE)</f>
        <v>#REF!</v>
      </c>
      <c r="E78" s="15">
        <f>VLOOKUP(A78,'[1]תקציב 2012 נכון להיום'!$A$2:$E$1361,5,FALSE)</f>
        <v>534725.71</v>
      </c>
      <c r="F78" s="15">
        <v>1425000</v>
      </c>
      <c r="G78" s="15">
        <v>755738.27</v>
      </c>
      <c r="H78" s="15">
        <v>830571.93</v>
      </c>
    </row>
    <row r="79" spans="1:8" ht="15" thickBot="1" x14ac:dyDescent="0.2">
      <c r="A79">
        <v>1433000643</v>
      </c>
      <c r="B79" t="s">
        <v>1110</v>
      </c>
      <c r="C79" s="16" t="e">
        <f>VLOOKUP(A79,#REF!,3,FALSE)</f>
        <v>#REF!</v>
      </c>
      <c r="D79" s="18" t="s">
        <v>1111</v>
      </c>
      <c r="E79" s="15">
        <f>VLOOKUP(A79,'[1]תקציב 2012 נכון להיום'!$A$2:$E$1361,5,FALSE)</f>
        <v>0</v>
      </c>
      <c r="F79" s="15">
        <v>125000</v>
      </c>
      <c r="G79" s="15">
        <v>0</v>
      </c>
      <c r="H79" s="15">
        <v>0</v>
      </c>
    </row>
    <row r="80" spans="1:8" ht="14" thickBot="1" x14ac:dyDescent="0.2">
      <c r="A80">
        <v>1433000644</v>
      </c>
      <c r="B80" t="s">
        <v>347</v>
      </c>
      <c r="C80" s="16" t="e">
        <f>VLOOKUP(A80,#REF!,3,FALSE)</f>
        <v>#REF!</v>
      </c>
      <c r="E80" s="15">
        <f>VLOOKUP(A80,'[1]תקציב 2012 נכון להיום'!$A$2:$E$1361,5,FALSE)</f>
        <v>0</v>
      </c>
      <c r="F80" s="15">
        <v>0</v>
      </c>
      <c r="G80" s="15">
        <v>0</v>
      </c>
      <c r="H80" s="15">
        <v>0</v>
      </c>
    </row>
    <row r="81" spans="1:8" x14ac:dyDescent="0.15">
      <c r="A81">
        <v>1437000215</v>
      </c>
      <c r="B81" t="s">
        <v>348</v>
      </c>
      <c r="C81" s="16" t="e">
        <f>VLOOKUP(A81,#REF!,3,FALSE)</f>
        <v>#REF!</v>
      </c>
      <c r="D81" s="337" t="s">
        <v>1111</v>
      </c>
      <c r="E81" s="15">
        <f>VLOOKUP(A81,'[1]תקציב 2012 נכון להיום'!$A$2:$E$1361,5,FALSE)</f>
        <v>564694.4</v>
      </c>
      <c r="F81" s="15">
        <v>40000</v>
      </c>
      <c r="G81" s="15">
        <v>34457.839999999997</v>
      </c>
      <c r="H81" s="15">
        <v>48563.18</v>
      </c>
    </row>
    <row r="82" spans="1:8" ht="14" thickBot="1" x14ac:dyDescent="0.2">
      <c r="A82">
        <v>1437000640</v>
      </c>
      <c r="B82" t="s">
        <v>349</v>
      </c>
      <c r="C82" s="16" t="e">
        <f>VLOOKUP(A82,#REF!,3,FALSE)</f>
        <v>#REF!</v>
      </c>
      <c r="D82" s="339"/>
      <c r="E82" s="15">
        <f>VLOOKUP(A82,'[1]תקציב 2012 נכון להיום'!$A$2:$E$1361,5,FALSE)</f>
        <v>227860</v>
      </c>
      <c r="F82" s="15">
        <v>100000</v>
      </c>
      <c r="G82" s="15">
        <v>45658.65</v>
      </c>
      <c r="H82" s="15">
        <v>384322.34</v>
      </c>
    </row>
    <row r="83" spans="1:8" x14ac:dyDescent="0.15">
      <c r="A83">
        <v>1443100220</v>
      </c>
      <c r="B83" t="s">
        <v>350</v>
      </c>
      <c r="C83" s="16" t="e">
        <f>VLOOKUP(A83,#REF!,3,FALSE)</f>
        <v>#REF!</v>
      </c>
      <c r="E83" s="15">
        <f>VLOOKUP(A83,'[1]תקציב 2012 נכון להיום'!$A$2:$E$1361,5,FALSE)</f>
        <v>0</v>
      </c>
      <c r="F83" s="15">
        <v>25000</v>
      </c>
      <c r="G83" s="15">
        <v>0</v>
      </c>
      <c r="H83" s="15">
        <v>0</v>
      </c>
    </row>
    <row r="84" spans="1:8" x14ac:dyDescent="0.15">
      <c r="A84">
        <v>1443100290</v>
      </c>
      <c r="B84" t="s">
        <v>351</v>
      </c>
      <c r="C84" s="16" t="e">
        <f>VLOOKUP(A84,#REF!,3,FALSE)</f>
        <v>#REF!</v>
      </c>
      <c r="E84" s="15">
        <f>VLOOKUP(A84,'[1]תקציב 2012 נכון להיום'!$A$2:$E$1361,5,FALSE)</f>
        <v>1765094.34</v>
      </c>
      <c r="F84" s="15">
        <v>3800000</v>
      </c>
      <c r="G84" s="15">
        <v>1961283.03</v>
      </c>
      <c r="H84" s="15">
        <v>3743482.99</v>
      </c>
    </row>
    <row r="85" spans="1:8" x14ac:dyDescent="0.15">
      <c r="A85">
        <v>1443100291</v>
      </c>
      <c r="B85" t="s">
        <v>352</v>
      </c>
      <c r="C85" s="16" t="e">
        <f>VLOOKUP(A85,#REF!,3,FALSE)</f>
        <v>#REF!</v>
      </c>
      <c r="E85" s="15">
        <f>VLOOKUP(A85,'[1]תקציב 2012 נכון להיום'!$A$2:$E$1361,5,FALSE)</f>
        <v>79247.3</v>
      </c>
      <c r="F85" s="15">
        <v>0</v>
      </c>
      <c r="G85" s="15">
        <v>36403</v>
      </c>
      <c r="H85" s="15">
        <v>0</v>
      </c>
    </row>
    <row r="86" spans="1:8" x14ac:dyDescent="0.15">
      <c r="A86">
        <v>1443100292</v>
      </c>
      <c r="B86" t="s">
        <v>353</v>
      </c>
      <c r="C86" s="16" t="e">
        <f>VLOOKUP(A86,#REF!,3,FALSE)</f>
        <v>#REF!</v>
      </c>
      <c r="E86" s="15">
        <f>VLOOKUP(A86,'[1]תקציב 2012 נכון להיום'!$A$2:$E$1361,5,FALSE)</f>
        <v>221351.07</v>
      </c>
      <c r="F86" s="15">
        <v>250000</v>
      </c>
      <c r="G86" s="15">
        <v>242040.28</v>
      </c>
      <c r="H86" s="15">
        <v>744191.29</v>
      </c>
    </row>
    <row r="87" spans="1:8" x14ac:dyDescent="0.15">
      <c r="A87">
        <v>1443100293</v>
      </c>
      <c r="B87" t="s">
        <v>354</v>
      </c>
      <c r="C87" s="16" t="e">
        <f>VLOOKUP(A87,#REF!,3,FALSE)</f>
        <v>#REF!</v>
      </c>
      <c r="E87" s="15">
        <f>VLOOKUP(A87,'[1]תקציב 2012 נכון להיום'!$A$2:$E$1361,5,FALSE)</f>
        <v>634521.5</v>
      </c>
      <c r="F87" s="15">
        <v>850000</v>
      </c>
      <c r="G87" s="15">
        <v>838665.8</v>
      </c>
      <c r="H87" s="15">
        <v>839307.2</v>
      </c>
    </row>
    <row r="88" spans="1:8" x14ac:dyDescent="0.15">
      <c r="A88">
        <v>1443100295</v>
      </c>
      <c r="B88" t="s">
        <v>355</v>
      </c>
      <c r="C88" s="16" t="e">
        <f>VLOOKUP(A88,#REF!,3,FALSE)</f>
        <v>#REF!</v>
      </c>
      <c r="E88" s="15">
        <f>VLOOKUP(A88,'[1]תקציב 2012 נכון להיום'!$A$2:$E$1361,5,FALSE)</f>
        <v>144982.21</v>
      </c>
      <c r="F88" s="15">
        <v>160000</v>
      </c>
      <c r="G88" s="15">
        <v>227887.99</v>
      </c>
      <c r="H88" s="15">
        <v>177571.34</v>
      </c>
    </row>
    <row r="89" spans="1:8" x14ac:dyDescent="0.15">
      <c r="A89">
        <v>1444000490</v>
      </c>
      <c r="B89" t="s">
        <v>356</v>
      </c>
      <c r="C89" s="16" t="e">
        <f>VLOOKUP(A89,#REF!,3,FALSE)</f>
        <v>#REF!</v>
      </c>
      <c r="E89" s="15">
        <f>VLOOKUP(A89,'[1]תקציב 2012 נכון להיום'!$A$2:$E$1361,5,FALSE)</f>
        <v>37536</v>
      </c>
      <c r="F89" s="15">
        <v>40000</v>
      </c>
      <c r="G89" s="15">
        <v>0</v>
      </c>
      <c r="H89" s="15">
        <v>0</v>
      </c>
    </row>
    <row r="90" spans="1:8" x14ac:dyDescent="0.15">
      <c r="A90">
        <v>1472000212</v>
      </c>
      <c r="B90" t="s">
        <v>357</v>
      </c>
      <c r="C90" s="16" t="e">
        <f>VLOOKUP(A90,#REF!,3,FALSE)</f>
        <v>#REF!</v>
      </c>
      <c r="E90" s="15">
        <f>VLOOKUP(A90,'[1]תקציב 2012 נכון להיום'!$A$2:$E$1361,5,FALSE)</f>
        <v>206960.06</v>
      </c>
      <c r="F90" s="15">
        <v>320000</v>
      </c>
      <c r="G90" s="15">
        <v>383925.65</v>
      </c>
      <c r="H90" s="15">
        <v>954162.58</v>
      </c>
    </row>
    <row r="91" spans="1:8" x14ac:dyDescent="0.15">
      <c r="A91">
        <v>1472000213</v>
      </c>
      <c r="B91" t="s">
        <v>358</v>
      </c>
      <c r="C91" s="16" t="e">
        <f>VLOOKUP(A91,#REF!,3,FALSE)</f>
        <v>#REF!</v>
      </c>
      <c r="E91" s="15">
        <f>VLOOKUP(A91,'[1]תקציב 2012 נכון להיום'!$A$2:$E$1361,5,FALSE)</f>
        <v>3498330.5</v>
      </c>
      <c r="F91" s="15">
        <v>200000</v>
      </c>
      <c r="G91" s="15">
        <v>1768376.08</v>
      </c>
      <c r="H91" s="15">
        <v>3571780.38</v>
      </c>
    </row>
    <row r="92" spans="1:8" x14ac:dyDescent="0.15">
      <c r="A92">
        <v>1472000215</v>
      </c>
      <c r="B92" t="s">
        <v>359</v>
      </c>
      <c r="C92" s="16" t="e">
        <f>VLOOKUP(A92,#REF!,3,FALSE)</f>
        <v>#REF!</v>
      </c>
      <c r="E92" s="15">
        <f>VLOOKUP(A92,'[1]תקציב 2012 נכון להיום'!$A$2:$E$1361,5,FALSE)</f>
        <v>105</v>
      </c>
      <c r="F92" s="15">
        <v>10000</v>
      </c>
      <c r="G92" s="15">
        <v>534079.12</v>
      </c>
      <c r="H92" s="15">
        <v>13199.72</v>
      </c>
    </row>
    <row r="93" spans="1:8" x14ac:dyDescent="0.15">
      <c r="C93" s="16" t="e">
        <f>VLOOKUP(A93,#REF!,3,FALSE)</f>
        <v>#REF!</v>
      </c>
    </row>
    <row r="94" spans="1:8" x14ac:dyDescent="0.15">
      <c r="C94" s="16" t="e">
        <f>VLOOKUP(A94,#REF!,3,FALSE)</f>
        <v>#REF!</v>
      </c>
    </row>
    <row r="95" spans="1:8" x14ac:dyDescent="0.15">
      <c r="C95" s="16" t="e">
        <f>VLOOKUP(A95,#REF!,3,FALSE)</f>
        <v>#REF!</v>
      </c>
    </row>
    <row r="96" spans="1:8" x14ac:dyDescent="0.15">
      <c r="A96" t="s">
        <v>360</v>
      </c>
      <c r="B96" t="s">
        <v>361</v>
      </c>
      <c r="C96" s="16" t="e">
        <f>VLOOKUP(A96,#REF!,3,FALSE)</f>
        <v>#REF!</v>
      </c>
    </row>
    <row r="97" spans="1:8" x14ac:dyDescent="0.15">
      <c r="A97">
        <v>1312210920</v>
      </c>
      <c r="B97" t="s">
        <v>362</v>
      </c>
      <c r="C97" s="16" t="e">
        <f>VLOOKUP(A97,#REF!,3,FALSE)</f>
        <v>#REF!</v>
      </c>
      <c r="E97" s="15">
        <f>VLOOKUP(A97,'[1]תקציב 2012 נכון להיום'!$A$2:$E$1361,5,FALSE)</f>
        <v>8000148.9900000002</v>
      </c>
      <c r="F97" s="15">
        <v>11028986</v>
      </c>
      <c r="G97" s="15">
        <v>10632839.359999999</v>
      </c>
      <c r="H97" s="15">
        <v>10083086.33</v>
      </c>
    </row>
    <row r="98" spans="1:8" x14ac:dyDescent="0.15">
      <c r="A98">
        <v>1312220920</v>
      </c>
      <c r="B98" t="s">
        <v>363</v>
      </c>
      <c r="C98" s="16" t="e">
        <f>VLOOKUP(A98,#REF!,3,FALSE)</f>
        <v>#REF!</v>
      </c>
      <c r="E98" s="15">
        <f>VLOOKUP(A98,'[1]תקציב 2012 נכון להיום'!$A$2:$E$1361,5,FALSE)</f>
        <v>2028092</v>
      </c>
      <c r="F98" s="15">
        <v>2800000</v>
      </c>
      <c r="G98" s="15">
        <v>3570367.44</v>
      </c>
      <c r="H98" s="15">
        <v>2733972</v>
      </c>
    </row>
    <row r="99" spans="1:8" x14ac:dyDescent="0.15">
      <c r="A99">
        <v>1312230920</v>
      </c>
      <c r="B99" t="s">
        <v>364</v>
      </c>
      <c r="C99" s="16" t="e">
        <f>VLOOKUP(A99,#REF!,3,FALSE)</f>
        <v>#REF!</v>
      </c>
      <c r="E99" s="15">
        <f>VLOOKUP(A99,'[1]תקציב 2012 נכון להיום'!$A$2:$E$1361,5,FALSE)</f>
        <v>27728.9</v>
      </c>
      <c r="F99" s="15">
        <v>18554</v>
      </c>
      <c r="G99" s="15">
        <v>25114</v>
      </c>
      <c r="H99" s="15">
        <v>26112.5</v>
      </c>
    </row>
    <row r="100" spans="1:8" x14ac:dyDescent="0.15">
      <c r="A100">
        <v>1312501920</v>
      </c>
      <c r="B100" t="s">
        <v>365</v>
      </c>
      <c r="C100" s="16" t="e">
        <f>VLOOKUP(A100,#REF!,3,FALSE)</f>
        <v>#REF!</v>
      </c>
      <c r="E100" s="15">
        <f>VLOOKUP(A100,'[1]תקציב 2012 נכון להיום'!$A$2:$E$1361,5,FALSE)</f>
        <v>721404</v>
      </c>
      <c r="F100" s="15">
        <v>1311000</v>
      </c>
      <c r="G100" s="15">
        <v>1320077</v>
      </c>
      <c r="H100" s="15">
        <v>718523</v>
      </c>
    </row>
    <row r="101" spans="1:8" x14ac:dyDescent="0.15">
      <c r="A101">
        <v>1313201920</v>
      </c>
      <c r="B101" t="s">
        <v>366</v>
      </c>
      <c r="C101" s="16" t="e">
        <f>VLOOKUP(A101,#REF!,3,FALSE)</f>
        <v>#REF!</v>
      </c>
      <c r="E101" s="15">
        <f>VLOOKUP(A101,'[1]תקציב 2012 נכון להיום'!$A$2:$E$1361,5,FALSE)</f>
        <v>87718.45</v>
      </c>
      <c r="F101" s="15">
        <v>763320</v>
      </c>
      <c r="G101" s="15">
        <v>170097.66</v>
      </c>
      <c r="H101" s="15">
        <v>0</v>
      </c>
    </row>
    <row r="102" spans="1:8" x14ac:dyDescent="0.15">
      <c r="A102">
        <v>1313204920</v>
      </c>
      <c r="B102" t="s">
        <v>367</v>
      </c>
      <c r="C102" s="16" t="e">
        <f>VLOOKUP(A102,#REF!,3,FALSE)</f>
        <v>#REF!</v>
      </c>
      <c r="E102" s="15">
        <f>VLOOKUP(A102,'[1]תקציב 2012 נכון להיום'!$A$2:$E$1361,5,FALSE)</f>
        <v>805982.17</v>
      </c>
      <c r="F102" s="15">
        <v>870636</v>
      </c>
      <c r="G102" s="15">
        <v>961723.78</v>
      </c>
      <c r="H102" s="15">
        <v>850180.14</v>
      </c>
    </row>
    <row r="103" spans="1:8" x14ac:dyDescent="0.15">
      <c r="A103">
        <v>1313205920</v>
      </c>
      <c r="B103" t="s">
        <v>368</v>
      </c>
      <c r="C103" s="16" t="e">
        <f>VLOOKUP(A103,#REF!,3,FALSE)</f>
        <v>#REF!</v>
      </c>
      <c r="E103" s="15">
        <f>VLOOKUP(A103,'[1]תקציב 2012 נכון להיום'!$A$2:$E$1361,5,FALSE)</f>
        <v>2485037.96</v>
      </c>
      <c r="F103" s="15">
        <v>2643696</v>
      </c>
      <c r="G103" s="15">
        <v>3013591.27</v>
      </c>
      <c r="H103" s="15">
        <v>2881599.14</v>
      </c>
    </row>
    <row r="104" spans="1:8" x14ac:dyDescent="0.15">
      <c r="A104">
        <v>1313213920</v>
      </c>
      <c r="B104" t="s">
        <v>369</v>
      </c>
      <c r="C104" s="16" t="e">
        <f>VLOOKUP(A104,#REF!,3,FALSE)</f>
        <v>#REF!</v>
      </c>
      <c r="E104" s="15">
        <f>VLOOKUP(A104,'[1]תקציב 2012 נכון להיום'!$A$2:$E$1361,5,FALSE)</f>
        <v>964331.51</v>
      </c>
      <c r="F104" s="15">
        <v>1155000</v>
      </c>
      <c r="G104" s="15">
        <v>1247207.17</v>
      </c>
      <c r="H104" s="15">
        <v>1210506.6599999999</v>
      </c>
    </row>
    <row r="105" spans="1:8" x14ac:dyDescent="0.15">
      <c r="A105">
        <v>1313221920</v>
      </c>
      <c r="B105" t="s">
        <v>370</v>
      </c>
      <c r="C105" s="16" t="e">
        <f>VLOOKUP(A105,#REF!,3,FALSE)</f>
        <v>#REF!</v>
      </c>
      <c r="E105" s="15">
        <f>VLOOKUP(A105,'[1]תקציב 2012 נכון להיום'!$A$2:$E$1361,5,FALSE)</f>
        <v>27045.919999999998</v>
      </c>
      <c r="F105" s="15">
        <v>15000</v>
      </c>
      <c r="G105" s="15">
        <v>22731.17</v>
      </c>
      <c r="H105" s="15">
        <v>46077.5</v>
      </c>
    </row>
    <row r="106" spans="1:8" x14ac:dyDescent="0.15">
      <c r="A106">
        <v>1313222920</v>
      </c>
      <c r="B106" t="s">
        <v>371</v>
      </c>
      <c r="C106" s="16" t="e">
        <f>VLOOKUP(A106,#REF!,3,FALSE)</f>
        <v>#REF!</v>
      </c>
      <c r="E106" s="15">
        <f>VLOOKUP(A106,'[1]תקציב 2012 נכון להיום'!$A$2:$E$1361,5,FALSE)</f>
        <v>174971</v>
      </c>
      <c r="F106" s="15">
        <v>246505</v>
      </c>
      <c r="G106" s="15">
        <v>301056.09999999998</v>
      </c>
      <c r="H106" s="15">
        <v>448863</v>
      </c>
    </row>
    <row r="107" spans="1:8" x14ac:dyDescent="0.15">
      <c r="A107">
        <v>1313223920</v>
      </c>
      <c r="B107" t="s">
        <v>372</v>
      </c>
      <c r="C107" s="16" t="e">
        <f>VLOOKUP(A107,#REF!,3,FALSE)</f>
        <v>#REF!</v>
      </c>
      <c r="E107" s="15">
        <f>VLOOKUP(A107,'[1]תקציב 2012 נכון להיום'!$A$2:$E$1361,5,FALSE)</f>
        <v>265851.03999999998</v>
      </c>
      <c r="F107" s="15">
        <v>264616.8</v>
      </c>
      <c r="G107" s="15">
        <v>0</v>
      </c>
      <c r="H107" s="15">
        <v>0</v>
      </c>
    </row>
    <row r="108" spans="1:8" x14ac:dyDescent="0.15">
      <c r="A108">
        <v>1313300920</v>
      </c>
      <c r="B108" t="s">
        <v>373</v>
      </c>
      <c r="C108" s="16" t="e">
        <f>VLOOKUP(A108,#REF!,3,FALSE)</f>
        <v>#REF!</v>
      </c>
      <c r="E108" s="15">
        <f>VLOOKUP(A108,'[1]תקציב 2012 נכון להיום'!$A$2:$E$1361,5,FALSE)</f>
        <v>99840</v>
      </c>
      <c r="F108" s="15">
        <v>161616</v>
      </c>
      <c r="G108" s="15">
        <v>144674.4</v>
      </c>
      <c r="H108" s="15">
        <v>144268.79999999999</v>
      </c>
    </row>
    <row r="109" spans="1:8" x14ac:dyDescent="0.15">
      <c r="A109">
        <v>1313304920</v>
      </c>
      <c r="B109" t="s">
        <v>374</v>
      </c>
      <c r="C109" s="16" t="e">
        <f>VLOOKUP(A109,#REF!,3,FALSE)</f>
        <v>#REF!</v>
      </c>
      <c r="E109" s="15">
        <f>VLOOKUP(A109,'[1]תקציב 2012 נכון להיום'!$A$2:$E$1361,5,FALSE)</f>
        <v>139597.26999999999</v>
      </c>
      <c r="F109" s="15">
        <v>147500</v>
      </c>
      <c r="G109" s="15">
        <v>146382.63</v>
      </c>
      <c r="H109" s="15">
        <v>274897.27</v>
      </c>
    </row>
    <row r="110" spans="1:8" x14ac:dyDescent="0.15">
      <c r="A110">
        <v>1313305920</v>
      </c>
      <c r="B110" t="s">
        <v>375</v>
      </c>
      <c r="C110" s="16" t="e">
        <f>VLOOKUP(A110,#REF!,3,FALSE)</f>
        <v>#REF!</v>
      </c>
      <c r="E110" s="15">
        <f>VLOOKUP(A110,'[1]תקציב 2012 נכון להיום'!$A$2:$E$1361,5,FALSE)</f>
        <v>296051.28999999998</v>
      </c>
      <c r="F110" s="15">
        <v>353500</v>
      </c>
      <c r="G110" s="15">
        <v>353579.44</v>
      </c>
      <c r="H110" s="15">
        <v>387051.05</v>
      </c>
    </row>
    <row r="111" spans="1:8" x14ac:dyDescent="0.15">
      <c r="A111">
        <v>1313313920</v>
      </c>
      <c r="B111" t="s">
        <v>376</v>
      </c>
      <c r="C111" s="16" t="e">
        <f>VLOOKUP(A111,#REF!,3,FALSE)</f>
        <v>#REF!</v>
      </c>
      <c r="E111" s="15">
        <f>VLOOKUP(A111,'[1]תקציב 2012 נכון להיום'!$A$2:$E$1361,5,FALSE)</f>
        <v>1527831.55</v>
      </c>
      <c r="F111" s="15">
        <v>1976000</v>
      </c>
      <c r="G111" s="15">
        <v>1953838.36</v>
      </c>
      <c r="H111" s="15">
        <v>1527086.91</v>
      </c>
    </row>
    <row r="112" spans="1:8" x14ac:dyDescent="0.15">
      <c r="A112">
        <v>1313322920</v>
      </c>
      <c r="B112" t="s">
        <v>377</v>
      </c>
      <c r="C112" s="16" t="e">
        <f>VLOOKUP(A112,#REF!,3,FALSE)</f>
        <v>#REF!</v>
      </c>
      <c r="E112" s="15">
        <f>VLOOKUP(A112,'[1]תקציב 2012 נכון להיום'!$A$2:$E$1361,5,FALSE)</f>
        <v>0</v>
      </c>
      <c r="F112" s="15">
        <v>28241</v>
      </c>
      <c r="G112" s="15">
        <v>0</v>
      </c>
      <c r="H112" s="15">
        <v>26656</v>
      </c>
    </row>
    <row r="113" spans="1:8" x14ac:dyDescent="0.15">
      <c r="A113">
        <v>1313330920</v>
      </c>
      <c r="B113" t="s">
        <v>378</v>
      </c>
      <c r="C113" s="16" t="e">
        <f>VLOOKUP(A113,#REF!,3,FALSE)</f>
        <v>#REF!</v>
      </c>
      <c r="E113" s="15">
        <f>VLOOKUP(A113,'[1]תקציב 2012 נכון להיום'!$A$2:$E$1361,5,FALSE)</f>
        <v>168899.68</v>
      </c>
      <c r="F113" s="15">
        <v>103500</v>
      </c>
      <c r="G113" s="15">
        <v>115463.38</v>
      </c>
      <c r="H113" s="15">
        <v>112716.3</v>
      </c>
    </row>
    <row r="114" spans="1:8" x14ac:dyDescent="0.15">
      <c r="A114">
        <v>1313700920</v>
      </c>
      <c r="B114" t="s">
        <v>379</v>
      </c>
      <c r="C114" s="16" t="e">
        <f>VLOOKUP(A114,#REF!,3,FALSE)</f>
        <v>#REF!</v>
      </c>
      <c r="E114" s="15">
        <f>VLOOKUP(A114,'[1]תקציב 2012 נכון להיום'!$A$2:$E$1361,5,FALSE)</f>
        <v>0</v>
      </c>
      <c r="F114" s="15">
        <v>9900</v>
      </c>
      <c r="G114" s="15">
        <v>9909.0400000000009</v>
      </c>
      <c r="H114" s="15">
        <v>6952</v>
      </c>
    </row>
    <row r="115" spans="1:8" x14ac:dyDescent="0.15">
      <c r="A115">
        <v>1313704920</v>
      </c>
      <c r="B115" t="s">
        <v>380</v>
      </c>
      <c r="C115" s="16" t="e">
        <f>VLOOKUP(A115,#REF!,3,FALSE)</f>
        <v>#REF!</v>
      </c>
      <c r="E115" s="15">
        <f>VLOOKUP(A115,'[1]תקציב 2012 נכון להיום'!$A$2:$E$1361,5,FALSE)</f>
        <v>18844.080000000002</v>
      </c>
      <c r="F115" s="15">
        <v>25000</v>
      </c>
      <c r="G115" s="15">
        <v>23640.6</v>
      </c>
      <c r="H115" s="15">
        <v>23150.5</v>
      </c>
    </row>
    <row r="116" spans="1:8" x14ac:dyDescent="0.15">
      <c r="A116">
        <v>1313705920</v>
      </c>
      <c r="B116" t="s">
        <v>381</v>
      </c>
      <c r="C116" s="16" t="e">
        <f>VLOOKUP(A116,#REF!,3,FALSE)</f>
        <v>#REF!</v>
      </c>
      <c r="E116" s="15">
        <f>VLOOKUP(A116,'[1]תקציב 2012 נכון להיום'!$A$2:$E$1361,5,FALSE)</f>
        <v>59130.720000000001</v>
      </c>
      <c r="F116" s="15">
        <v>65000</v>
      </c>
      <c r="G116" s="15">
        <v>74171.28</v>
      </c>
      <c r="H116" s="15">
        <v>72647.350000000006</v>
      </c>
    </row>
    <row r="117" spans="1:8" x14ac:dyDescent="0.15">
      <c r="A117">
        <v>1317100920</v>
      </c>
      <c r="B117" t="s">
        <v>382</v>
      </c>
      <c r="C117" s="16" t="e">
        <f>VLOOKUP(A117,#REF!,3,FALSE)</f>
        <v>#REF!</v>
      </c>
      <c r="E117" s="15">
        <f>VLOOKUP(A117,'[1]תקציב 2012 נכון להיום'!$A$2:$E$1361,5,FALSE)</f>
        <v>129017.61</v>
      </c>
      <c r="F117" s="15">
        <v>162915</v>
      </c>
      <c r="G117" s="15">
        <v>164326.92000000001</v>
      </c>
      <c r="H117" s="15">
        <v>161980.22</v>
      </c>
    </row>
    <row r="118" spans="1:8" x14ac:dyDescent="0.15">
      <c r="A118">
        <v>1317200920</v>
      </c>
      <c r="B118" t="s">
        <v>383</v>
      </c>
      <c r="C118" s="16" t="e">
        <f>VLOOKUP(A118,#REF!,3,FALSE)</f>
        <v>#REF!</v>
      </c>
      <c r="E118" s="15">
        <f>VLOOKUP(A118,'[1]תקציב 2012 נכון להיום'!$A$2:$E$1361,5,FALSE)</f>
        <v>2164.1999999999998</v>
      </c>
      <c r="F118" s="15">
        <v>57775</v>
      </c>
      <c r="G118" s="15">
        <v>51888.800000000003</v>
      </c>
      <c r="H118" s="15">
        <v>60672.39</v>
      </c>
    </row>
    <row r="119" spans="1:8" x14ac:dyDescent="0.15">
      <c r="A119">
        <v>1317300920</v>
      </c>
      <c r="B119" t="s">
        <v>384</v>
      </c>
      <c r="C119" s="16" t="e">
        <f>VLOOKUP(A119,#REF!,3,FALSE)</f>
        <v>#REF!</v>
      </c>
      <c r="E119" s="15">
        <f>VLOOKUP(A119,'[1]תקציב 2012 נכון להיום'!$A$2:$E$1361,5,FALSE)</f>
        <v>1221636.6599999999</v>
      </c>
      <c r="F119" s="15">
        <v>1647606</v>
      </c>
      <c r="G119" s="15">
        <v>1621653.05</v>
      </c>
      <c r="H119" s="15">
        <v>1465150.35</v>
      </c>
    </row>
    <row r="120" spans="1:8" x14ac:dyDescent="0.15">
      <c r="A120">
        <v>1317301920</v>
      </c>
      <c r="B120" t="s">
        <v>385</v>
      </c>
      <c r="C120" s="16" t="e">
        <f>VLOOKUP(A120,#REF!,3,FALSE)</f>
        <v>#REF!</v>
      </c>
      <c r="E120" s="15">
        <f>VLOOKUP(A120,'[1]תקציב 2012 נכון להיום'!$A$2:$E$1361,5,FALSE)</f>
        <v>42218.38</v>
      </c>
      <c r="F120" s="15">
        <v>55334</v>
      </c>
      <c r="G120" s="15">
        <v>47672.14</v>
      </c>
      <c r="H120" s="15">
        <v>57038.95</v>
      </c>
    </row>
    <row r="121" spans="1:8" x14ac:dyDescent="0.15">
      <c r="A121">
        <v>1317600920</v>
      </c>
      <c r="B121" t="s">
        <v>386</v>
      </c>
      <c r="C121" s="16" t="e">
        <f>VLOOKUP(A121,#REF!,3,FALSE)</f>
        <v>#REF!</v>
      </c>
      <c r="E121" s="15">
        <f>VLOOKUP(A121,'[1]תקציב 2012 נכון להיום'!$A$2:$E$1361,5,FALSE)</f>
        <v>1834967.7</v>
      </c>
      <c r="F121" s="15">
        <v>1446326</v>
      </c>
      <c r="G121" s="15">
        <v>1654091.38</v>
      </c>
      <c r="H121" s="15">
        <v>1373669.92</v>
      </c>
    </row>
    <row r="122" spans="1:8" x14ac:dyDescent="0.15">
      <c r="A122">
        <v>1317700920</v>
      </c>
      <c r="B122" t="s">
        <v>387</v>
      </c>
      <c r="C122" s="16" t="e">
        <f>VLOOKUP(A122,#REF!,3,FALSE)</f>
        <v>#REF!</v>
      </c>
      <c r="E122" s="15">
        <f>VLOOKUP(A122,'[1]תקציב 2012 נכון להיום'!$A$2:$E$1361,5,FALSE)</f>
        <v>175058.13</v>
      </c>
      <c r="F122" s="15">
        <v>223282</v>
      </c>
      <c r="G122" s="15">
        <v>236947.39</v>
      </c>
      <c r="H122" s="15">
        <v>35136.11</v>
      </c>
    </row>
    <row r="123" spans="1:8" x14ac:dyDescent="0.15">
      <c r="A123">
        <v>1317701920</v>
      </c>
      <c r="B123" t="s">
        <v>388</v>
      </c>
      <c r="C123" s="16" t="e">
        <f>VLOOKUP(A123,#REF!,3,FALSE)</f>
        <v>#REF!</v>
      </c>
      <c r="E123" s="15">
        <f>VLOOKUP(A123,'[1]תקציב 2012 נכון להיום'!$A$2:$E$1361,5,FALSE)</f>
        <v>290965.68</v>
      </c>
      <c r="F123" s="15">
        <v>450000</v>
      </c>
      <c r="G123" s="15">
        <v>400595.4</v>
      </c>
      <c r="H123" s="15">
        <v>391180.5</v>
      </c>
    </row>
    <row r="124" spans="1:8" x14ac:dyDescent="0.15">
      <c r="A124">
        <v>1317702920</v>
      </c>
      <c r="B124" t="s">
        <v>389</v>
      </c>
      <c r="C124" s="16" t="e">
        <f>VLOOKUP(A124,#REF!,3,FALSE)</f>
        <v>#REF!</v>
      </c>
      <c r="E124" s="15">
        <f>VLOOKUP(A124,'[1]תקציב 2012 נכון להיום'!$A$2:$E$1361,5,FALSE)</f>
        <v>2296</v>
      </c>
      <c r="F124" s="15">
        <v>27562</v>
      </c>
      <c r="G124" s="15">
        <v>25266</v>
      </c>
      <c r="H124" s="15">
        <v>31009</v>
      </c>
    </row>
    <row r="125" spans="1:8" x14ac:dyDescent="0.15">
      <c r="A125">
        <v>1317800920</v>
      </c>
      <c r="B125" t="s">
        <v>390</v>
      </c>
      <c r="C125" s="16" t="e">
        <f>VLOOKUP(A125,#REF!,3,FALSE)</f>
        <v>#REF!</v>
      </c>
      <c r="E125" s="15">
        <f>VLOOKUP(A125,'[1]תקציב 2012 נכון להיום'!$A$2:$E$1361,5,FALSE)</f>
        <v>3380577.74</v>
      </c>
      <c r="F125" s="15">
        <v>5290766</v>
      </c>
      <c r="G125" s="15">
        <v>5470045.6500000004</v>
      </c>
      <c r="H125" s="15">
        <v>5320320.45</v>
      </c>
    </row>
    <row r="126" spans="1:8" x14ac:dyDescent="0.15">
      <c r="A126">
        <v>1317801920</v>
      </c>
      <c r="B126" t="s">
        <v>391</v>
      </c>
      <c r="C126" s="16" t="e">
        <f>VLOOKUP(A126,#REF!,3,FALSE)</f>
        <v>#REF!</v>
      </c>
      <c r="E126" s="15">
        <f>VLOOKUP(A126,'[1]תקציב 2012 נכון להיום'!$A$2:$E$1361,5,FALSE)</f>
        <v>918931.09</v>
      </c>
      <c r="F126" s="15">
        <v>1145228</v>
      </c>
      <c r="G126" s="15">
        <v>1122115.56</v>
      </c>
      <c r="H126" s="15">
        <v>975675.2</v>
      </c>
    </row>
    <row r="127" spans="1:8" x14ac:dyDescent="0.15">
      <c r="A127">
        <v>1317904920</v>
      </c>
      <c r="B127" t="s">
        <v>392</v>
      </c>
      <c r="C127" s="16" t="e">
        <f>VLOOKUP(A127,#REF!,3,FALSE)</f>
        <v>#REF!</v>
      </c>
      <c r="E127" s="15">
        <f>VLOOKUP(A127,'[1]תקציב 2012 נכון להיום'!$A$2:$E$1361,5,FALSE)</f>
        <v>76506.97</v>
      </c>
      <c r="F127" s="15">
        <v>94000</v>
      </c>
      <c r="G127" s="15">
        <v>95980.85</v>
      </c>
      <c r="H127" s="15">
        <v>93995.8</v>
      </c>
    </row>
    <row r="128" spans="1:8" x14ac:dyDescent="0.15">
      <c r="A128">
        <v>1317905920</v>
      </c>
      <c r="B128" t="s">
        <v>393</v>
      </c>
      <c r="C128" s="16" t="e">
        <f>VLOOKUP(A128,#REF!,3,FALSE)</f>
        <v>#REF!</v>
      </c>
      <c r="E128" s="15">
        <f>VLOOKUP(A128,'[1]תקציב 2012 נכון להיום'!$A$2:$E$1361,5,FALSE)</f>
        <v>38067.550000000003</v>
      </c>
      <c r="F128" s="15">
        <v>47000</v>
      </c>
      <c r="G128" s="15">
        <v>47751.42</v>
      </c>
      <c r="H128" s="15">
        <v>46772.69</v>
      </c>
    </row>
    <row r="129" spans="1:8" x14ac:dyDescent="0.15">
      <c r="A129">
        <v>1317922920</v>
      </c>
      <c r="B129" t="s">
        <v>394</v>
      </c>
      <c r="C129" s="16" t="e">
        <f>VLOOKUP(A129,#REF!,3,FALSE)</f>
        <v>#REF!</v>
      </c>
      <c r="E129" s="15">
        <f>VLOOKUP(A129,'[1]תקציב 2012 נכון להיום'!$A$2:$E$1361,5,FALSE)</f>
        <v>0</v>
      </c>
      <c r="F129" s="15">
        <v>27244</v>
      </c>
      <c r="G129" s="15">
        <v>29190</v>
      </c>
      <c r="H129" s="15">
        <v>29190</v>
      </c>
    </row>
    <row r="130" spans="1:8" x14ac:dyDescent="0.15">
      <c r="A130">
        <v>1317951920</v>
      </c>
      <c r="B130" t="s">
        <v>395</v>
      </c>
      <c r="C130" s="16" t="e">
        <f>VLOOKUP(A130,#REF!,3,FALSE)</f>
        <v>#REF!</v>
      </c>
      <c r="E130" s="15">
        <f>VLOOKUP(A130,'[1]תקציב 2012 נכון להיום'!$A$2:$E$1361,5,FALSE)</f>
        <v>0</v>
      </c>
      <c r="F130" s="15">
        <v>75000</v>
      </c>
      <c r="G130" s="15">
        <v>0</v>
      </c>
      <c r="H130" s="15">
        <v>0</v>
      </c>
    </row>
    <row r="131" spans="1:8" x14ac:dyDescent="0.15">
      <c r="A131">
        <v>1317952920</v>
      </c>
      <c r="B131" t="s">
        <v>396</v>
      </c>
      <c r="C131" s="16" t="e">
        <f>VLOOKUP(A131,#REF!,3,FALSE)</f>
        <v>#REF!</v>
      </c>
      <c r="E131" s="15">
        <f>VLOOKUP(A131,'[1]תקציב 2012 נכון להיום'!$A$2:$E$1361,5,FALSE)</f>
        <v>382956</v>
      </c>
      <c r="F131" s="15">
        <v>700000</v>
      </c>
      <c r="G131" s="15">
        <v>30822</v>
      </c>
      <c r="H131" s="15">
        <v>299328.15000000002</v>
      </c>
    </row>
    <row r="132" spans="1:8" x14ac:dyDescent="0.15">
      <c r="A132">
        <v>1317960920</v>
      </c>
      <c r="B132" t="s">
        <v>397</v>
      </c>
      <c r="C132" s="16" t="e">
        <f>VLOOKUP(A132,#REF!,3,FALSE)</f>
        <v>#REF!</v>
      </c>
      <c r="E132" s="15">
        <f>VLOOKUP(A132,'[1]תקציב 2012 נכון להיום'!$A$2:$E$1361,5,FALSE)</f>
        <v>0</v>
      </c>
      <c r="F132" s="15">
        <v>275000</v>
      </c>
      <c r="G132" s="15">
        <v>248271</v>
      </c>
      <c r="H132" s="15">
        <v>301694</v>
      </c>
    </row>
    <row r="133" spans="1:8" x14ac:dyDescent="0.15">
      <c r="A133">
        <v>1319999920</v>
      </c>
      <c r="B133" t="s">
        <v>398</v>
      </c>
      <c r="C133" s="16" t="e">
        <f>VLOOKUP(A133,#REF!,3,FALSE)</f>
        <v>#REF!</v>
      </c>
      <c r="E133" s="15">
        <f>VLOOKUP(A133,'[1]תקציב 2012 נכון להיום'!$A$2:$E$1361,5,FALSE)</f>
        <v>0</v>
      </c>
      <c r="F133" s="15">
        <v>25000</v>
      </c>
      <c r="G133" s="15">
        <v>17454</v>
      </c>
      <c r="H133" s="15">
        <v>0</v>
      </c>
    </row>
    <row r="134" spans="1:8" x14ac:dyDescent="0.15">
      <c r="C134" s="16" t="e">
        <f>VLOOKUP(A134,#REF!,3,FALSE)</f>
        <v>#REF!</v>
      </c>
    </row>
    <row r="135" spans="1:8" x14ac:dyDescent="0.15">
      <c r="A135" t="s">
        <v>399</v>
      </c>
      <c r="B135" t="s">
        <v>400</v>
      </c>
      <c r="C135" s="16" t="e">
        <f>VLOOKUP(A135,#REF!,3,FALSE)</f>
        <v>#REF!</v>
      </c>
    </row>
    <row r="136" spans="1:8" x14ac:dyDescent="0.15">
      <c r="A136">
        <v>1341000930</v>
      </c>
      <c r="B136" t="s">
        <v>401</v>
      </c>
      <c r="C136" s="16" t="e">
        <f>VLOOKUP(A136,#REF!,3,FALSE)</f>
        <v>#REF!</v>
      </c>
      <c r="E136" s="15">
        <f>VLOOKUP(A136,'[1]תקציב 2012 נכון להיום'!$A$2:$E$1361,5,FALSE)</f>
        <v>4300770</v>
      </c>
      <c r="F136" s="15">
        <v>4850000</v>
      </c>
      <c r="G136" s="15">
        <v>4732989</v>
      </c>
      <c r="H136" s="15">
        <v>4630426</v>
      </c>
    </row>
    <row r="137" spans="1:8" x14ac:dyDescent="0.15">
      <c r="A137">
        <v>1341000933</v>
      </c>
      <c r="B137" t="s">
        <v>402</v>
      </c>
      <c r="C137" s="16" t="e">
        <f>VLOOKUP(A137,#REF!,3,FALSE)</f>
        <v>#REF!</v>
      </c>
      <c r="E137" s="15">
        <f>VLOOKUP(A137,'[1]תקציב 2012 נכון להיום'!$A$2:$E$1361,5,FALSE)</f>
        <v>15000</v>
      </c>
      <c r="F137" s="15">
        <v>15000</v>
      </c>
      <c r="G137" s="15">
        <v>0</v>
      </c>
      <c r="H137" s="15">
        <v>0</v>
      </c>
    </row>
    <row r="138" spans="1:8" x14ac:dyDescent="0.15">
      <c r="A138">
        <v>1341000934</v>
      </c>
      <c r="B138" t="s">
        <v>403</v>
      </c>
      <c r="C138" s="16" t="e">
        <f>VLOOKUP(A138,#REF!,3,FALSE)</f>
        <v>#REF!</v>
      </c>
      <c r="E138" s="15">
        <f>VLOOKUP(A138,'[1]תקציב 2012 נכון להיום'!$A$2:$E$1361,5,FALSE)</f>
        <v>73579</v>
      </c>
      <c r="F138" s="15">
        <v>103000</v>
      </c>
      <c r="G138" s="15">
        <v>85475</v>
      </c>
      <c r="H138" s="15">
        <v>76349</v>
      </c>
    </row>
    <row r="139" spans="1:8" x14ac:dyDescent="0.15">
      <c r="A139">
        <v>1341000936</v>
      </c>
      <c r="B139" t="s">
        <v>404</v>
      </c>
      <c r="C139" s="16" t="e">
        <f>VLOOKUP(A139,#REF!,3,FALSE)</f>
        <v>#REF!</v>
      </c>
      <c r="E139" s="15">
        <f>VLOOKUP(A139,'[1]תקציב 2012 נכון להיום'!$A$2:$E$1361,5,FALSE)</f>
        <v>0</v>
      </c>
      <c r="F139" s="15">
        <v>16500</v>
      </c>
      <c r="G139" s="15">
        <v>1125</v>
      </c>
      <c r="H139" s="15">
        <v>0</v>
      </c>
    </row>
    <row r="140" spans="1:8" x14ac:dyDescent="0.15">
      <c r="A140">
        <v>1341000937</v>
      </c>
      <c r="B140" t="s">
        <v>405</v>
      </c>
      <c r="C140" s="16" t="e">
        <f>VLOOKUP(A140,#REF!,3,FALSE)</f>
        <v>#REF!</v>
      </c>
      <c r="E140" s="15">
        <f>VLOOKUP(A140,'[1]תקציב 2012 נכון להיום'!$A$2:$E$1361,5,FALSE)</f>
        <v>10107</v>
      </c>
      <c r="F140" s="15">
        <v>20100</v>
      </c>
      <c r="G140" s="15">
        <v>20266</v>
      </c>
      <c r="H140" s="15">
        <v>19614</v>
      </c>
    </row>
    <row r="141" spans="1:8" x14ac:dyDescent="0.15">
      <c r="A141">
        <v>1342200930</v>
      </c>
      <c r="B141" t="s">
        <v>406</v>
      </c>
      <c r="C141" s="16" t="e">
        <f>VLOOKUP(A141,#REF!,3,FALSE)</f>
        <v>#REF!</v>
      </c>
      <c r="E141" s="15">
        <f>VLOOKUP(A141,'[1]תקציב 2012 נכון להיום'!$A$2:$E$1361,5,FALSE)</f>
        <v>74670</v>
      </c>
      <c r="F141" s="15">
        <v>122700</v>
      </c>
      <c r="G141" s="15">
        <v>102787</v>
      </c>
      <c r="H141" s="15">
        <v>89278</v>
      </c>
    </row>
    <row r="142" spans="1:8" x14ac:dyDescent="0.15">
      <c r="A142">
        <v>1342200932</v>
      </c>
      <c r="B142" t="s">
        <v>1112</v>
      </c>
      <c r="C142" s="16" t="e">
        <f>VLOOKUP(A142,#REF!,3,FALSE)</f>
        <v>#REF!</v>
      </c>
      <c r="E142" s="15">
        <f>VLOOKUP(A142,'[1]תקציב 2012 נכון להיום'!$A$2:$E$1361,5,FALSE)</f>
        <v>0</v>
      </c>
      <c r="F142" s="15">
        <v>2600</v>
      </c>
      <c r="G142" s="15">
        <v>0</v>
      </c>
      <c r="H142" s="15">
        <v>0</v>
      </c>
    </row>
    <row r="143" spans="1:8" x14ac:dyDescent="0.15">
      <c r="A143">
        <v>1342200933</v>
      </c>
      <c r="B143" t="s">
        <v>407</v>
      </c>
      <c r="C143" s="16" t="e">
        <f>VLOOKUP(A143,#REF!,3,FALSE)</f>
        <v>#REF!</v>
      </c>
      <c r="E143" s="15">
        <f>VLOOKUP(A143,'[1]תקציב 2012 נכון להיום'!$A$2:$E$1361,5,FALSE)</f>
        <v>82344</v>
      </c>
      <c r="F143" s="15">
        <v>112500</v>
      </c>
      <c r="G143" s="15">
        <v>119387</v>
      </c>
      <c r="H143" s="15">
        <v>107993</v>
      </c>
    </row>
    <row r="144" spans="1:8" x14ac:dyDescent="0.15">
      <c r="A144">
        <v>1342200934</v>
      </c>
      <c r="B144" t="s">
        <v>408</v>
      </c>
      <c r="C144" s="16" t="e">
        <f>VLOOKUP(A144,#REF!,3,FALSE)</f>
        <v>#REF!</v>
      </c>
      <c r="E144" s="15">
        <f>VLOOKUP(A144,'[1]תקציב 2012 נכון להיום'!$A$2:$E$1361,5,FALSE)</f>
        <v>0</v>
      </c>
      <c r="F144" s="15">
        <v>1500</v>
      </c>
      <c r="G144" s="15">
        <v>7889</v>
      </c>
      <c r="H144" s="15">
        <v>0</v>
      </c>
    </row>
    <row r="145" spans="1:8" x14ac:dyDescent="0.15">
      <c r="A145">
        <v>1342200936</v>
      </c>
      <c r="B145" t="s">
        <v>409</v>
      </c>
      <c r="C145" s="16" t="e">
        <f>VLOOKUP(A145,#REF!,3,FALSE)</f>
        <v>#REF!</v>
      </c>
      <c r="E145" s="15">
        <f>VLOOKUP(A145,'[1]תקציב 2012 נכון להיום'!$A$2:$E$1361,5,FALSE)</f>
        <v>156635</v>
      </c>
      <c r="F145" s="15">
        <v>112500</v>
      </c>
      <c r="G145" s="15">
        <v>50301</v>
      </c>
      <c r="H145" s="15">
        <v>299588</v>
      </c>
    </row>
    <row r="146" spans="1:8" x14ac:dyDescent="0.15">
      <c r="A146">
        <v>1342400931</v>
      </c>
      <c r="B146" t="s">
        <v>410</v>
      </c>
      <c r="C146" s="16" t="e">
        <f>VLOOKUP(A146,#REF!,3,FALSE)</f>
        <v>#REF!</v>
      </c>
      <c r="E146" s="15">
        <f>VLOOKUP(A146,'[1]תקציב 2012 נכון להיום'!$A$2:$E$1361,5,FALSE)</f>
        <v>0</v>
      </c>
      <c r="F146" s="15">
        <v>9000</v>
      </c>
      <c r="G146" s="15">
        <v>7167</v>
      </c>
      <c r="H146" s="15">
        <v>0</v>
      </c>
    </row>
    <row r="147" spans="1:8" x14ac:dyDescent="0.15">
      <c r="A147">
        <v>1342400935</v>
      </c>
      <c r="B147" t="s">
        <v>411</v>
      </c>
      <c r="C147" s="16" t="e">
        <f>VLOOKUP(A147,#REF!,3,FALSE)</f>
        <v>#REF!</v>
      </c>
      <c r="E147" s="15">
        <f>VLOOKUP(A147,'[1]תקציב 2012 נכון להיום'!$A$2:$E$1361,5,FALSE)</f>
        <v>28470</v>
      </c>
      <c r="F147" s="15">
        <v>37500</v>
      </c>
      <c r="G147" s="15">
        <v>38343</v>
      </c>
      <c r="H147" s="15">
        <v>9459</v>
      </c>
    </row>
    <row r="148" spans="1:8" x14ac:dyDescent="0.15">
      <c r="A148">
        <v>1342401930</v>
      </c>
      <c r="B148" t="s">
        <v>412</v>
      </c>
      <c r="C148" s="16" t="e">
        <f>VLOOKUP(A148,#REF!,3,FALSE)</f>
        <v>#REF!</v>
      </c>
      <c r="E148" s="15">
        <f>VLOOKUP(A148,'[1]תקציב 2012 נכון להיום'!$A$2:$E$1361,5,FALSE)</f>
        <v>0</v>
      </c>
      <c r="F148" s="15">
        <v>180000</v>
      </c>
      <c r="G148" s="15">
        <v>180000</v>
      </c>
      <c r="H148" s="15">
        <v>180000</v>
      </c>
    </row>
    <row r="149" spans="1:8" x14ac:dyDescent="0.15">
      <c r="A149">
        <v>1343500931</v>
      </c>
      <c r="B149" t="s">
        <v>413</v>
      </c>
      <c r="C149" s="16" t="e">
        <f>VLOOKUP(A149,#REF!,3,FALSE)</f>
        <v>#REF!</v>
      </c>
      <c r="E149" s="15">
        <f>VLOOKUP(A149,'[1]תקציב 2012 נכון להיום'!$A$2:$E$1361,5,FALSE)</f>
        <v>98550</v>
      </c>
      <c r="F149" s="15">
        <v>140750</v>
      </c>
      <c r="G149" s="15">
        <v>147576</v>
      </c>
      <c r="H149" s="15">
        <v>165797</v>
      </c>
    </row>
    <row r="150" spans="1:8" x14ac:dyDescent="0.15">
      <c r="A150">
        <v>1343500932</v>
      </c>
      <c r="B150" t="s">
        <v>414</v>
      </c>
      <c r="C150" s="16" t="e">
        <f>VLOOKUP(A150,#REF!,3,FALSE)</f>
        <v>#REF!</v>
      </c>
      <c r="E150" s="15">
        <f>VLOOKUP(A150,'[1]תקציב 2012 נכון להיום'!$A$2:$E$1361,5,FALSE)</f>
        <v>348153</v>
      </c>
      <c r="F150" s="15">
        <v>466600</v>
      </c>
      <c r="G150" s="15">
        <v>430385</v>
      </c>
      <c r="H150" s="15">
        <v>290177</v>
      </c>
    </row>
    <row r="151" spans="1:8" x14ac:dyDescent="0.15">
      <c r="A151">
        <v>1343500934</v>
      </c>
      <c r="B151" t="s">
        <v>415</v>
      </c>
      <c r="C151" s="16" t="e">
        <f>VLOOKUP(A151,#REF!,3,FALSE)</f>
        <v>#REF!</v>
      </c>
      <c r="E151" s="15">
        <f>VLOOKUP(A151,'[1]תקציב 2012 נכון להיום'!$A$2:$E$1361,5,FALSE)</f>
        <v>195949</v>
      </c>
      <c r="F151" s="15">
        <v>285820</v>
      </c>
      <c r="G151" s="15">
        <v>68476</v>
      </c>
      <c r="H151" s="15">
        <v>0</v>
      </c>
    </row>
    <row r="152" spans="1:8" x14ac:dyDescent="0.15">
      <c r="A152">
        <v>1343500935</v>
      </c>
      <c r="B152" t="s">
        <v>416</v>
      </c>
      <c r="C152" s="16" t="e">
        <f>VLOOKUP(A152,#REF!,3,FALSE)</f>
        <v>#REF!</v>
      </c>
      <c r="E152" s="15">
        <f>VLOOKUP(A152,'[1]תקציב 2012 נכון להיום'!$A$2:$E$1361,5,FALSE)</f>
        <v>48326</v>
      </c>
      <c r="F152" s="15">
        <v>100362</v>
      </c>
      <c r="G152" s="15">
        <v>97664</v>
      </c>
      <c r="H152" s="15">
        <v>78981</v>
      </c>
    </row>
    <row r="153" spans="1:8" x14ac:dyDescent="0.15">
      <c r="A153">
        <v>1343500937</v>
      </c>
      <c r="B153" t="s">
        <v>417</v>
      </c>
      <c r="C153" s="16" t="e">
        <f>VLOOKUP(A153,#REF!,3,FALSE)</f>
        <v>#REF!</v>
      </c>
      <c r="E153" s="15">
        <f>VLOOKUP(A153,'[1]תקציב 2012 נכון להיום'!$A$2:$E$1361,5,FALSE)</f>
        <v>5734</v>
      </c>
      <c r="F153" s="15">
        <v>8359</v>
      </c>
      <c r="G153" s="15">
        <v>3704</v>
      </c>
      <c r="H153" s="15">
        <v>824</v>
      </c>
    </row>
    <row r="154" spans="1:8" x14ac:dyDescent="0.15">
      <c r="A154">
        <v>1343500939</v>
      </c>
      <c r="B154" t="s">
        <v>418</v>
      </c>
      <c r="C154" s="16" t="e">
        <f>VLOOKUP(A154,#REF!,3,FALSE)</f>
        <v>#REF!</v>
      </c>
      <c r="E154" s="15">
        <f>VLOOKUP(A154,'[1]תקציב 2012 נכון להיום'!$A$2:$E$1361,5,FALSE)</f>
        <v>18396</v>
      </c>
      <c r="F154" s="15">
        <v>22500</v>
      </c>
      <c r="G154" s="15">
        <v>26355</v>
      </c>
      <c r="H154" s="15">
        <v>5025</v>
      </c>
    </row>
    <row r="155" spans="1:8" x14ac:dyDescent="0.15">
      <c r="A155">
        <v>1343800930</v>
      </c>
      <c r="B155" t="s">
        <v>419</v>
      </c>
      <c r="C155" s="16" t="e">
        <f>VLOOKUP(A155,#REF!,3,FALSE)</f>
        <v>#REF!</v>
      </c>
      <c r="E155" s="15">
        <f>VLOOKUP(A155,'[1]תקציב 2012 נכון להיום'!$A$2:$E$1361,5,FALSE)</f>
        <v>2284051</v>
      </c>
      <c r="F155" s="15">
        <v>2570310</v>
      </c>
      <c r="G155" s="15">
        <v>2488090</v>
      </c>
      <c r="H155" s="15">
        <v>2356473</v>
      </c>
    </row>
    <row r="156" spans="1:8" x14ac:dyDescent="0.15">
      <c r="A156">
        <v>1343800935</v>
      </c>
      <c r="B156" t="s">
        <v>420</v>
      </c>
      <c r="C156" s="16" t="e">
        <f>VLOOKUP(A156,#REF!,3,FALSE)</f>
        <v>#REF!</v>
      </c>
      <c r="E156" s="15">
        <f>VLOOKUP(A156,'[1]תקציב 2012 נכון להיום'!$A$2:$E$1361,5,FALSE)</f>
        <v>162608</v>
      </c>
      <c r="F156" s="15">
        <v>356251</v>
      </c>
      <c r="G156" s="15">
        <v>321823</v>
      </c>
      <c r="H156" s="15">
        <v>278700</v>
      </c>
    </row>
    <row r="157" spans="1:8" x14ac:dyDescent="0.15">
      <c r="A157">
        <v>1343900930</v>
      </c>
      <c r="B157" t="s">
        <v>421</v>
      </c>
      <c r="C157" s="16" t="e">
        <f>VLOOKUP(A157,#REF!,3,FALSE)</f>
        <v>#REF!</v>
      </c>
      <c r="E157" s="15">
        <f>VLOOKUP(A157,'[1]תקציב 2012 נכון להיום'!$A$2:$E$1361,5,FALSE)</f>
        <v>1377280</v>
      </c>
      <c r="F157" s="15">
        <v>1678373</v>
      </c>
      <c r="G157" s="15">
        <v>1783619</v>
      </c>
      <c r="H157" s="15">
        <v>1645937</v>
      </c>
    </row>
    <row r="158" spans="1:8" x14ac:dyDescent="0.15">
      <c r="A158">
        <v>1344300930</v>
      </c>
      <c r="B158" t="s">
        <v>300</v>
      </c>
      <c r="C158" s="16" t="e">
        <f>VLOOKUP(A158,#REF!,3,FALSE)</f>
        <v>#REF!</v>
      </c>
      <c r="E158" s="15">
        <f>VLOOKUP(A158,'[1]תקציב 2012 נכון להיום'!$A$2:$E$1361,5,FALSE)</f>
        <v>2515859</v>
      </c>
      <c r="F158" s="15">
        <v>3175480</v>
      </c>
      <c r="G158" s="15">
        <v>3242236</v>
      </c>
      <c r="H158" s="15">
        <v>2852263</v>
      </c>
    </row>
    <row r="159" spans="1:8" x14ac:dyDescent="0.15">
      <c r="A159">
        <v>1344400932</v>
      </c>
      <c r="B159" t="s">
        <v>423</v>
      </c>
      <c r="C159" s="16" t="e">
        <f>VLOOKUP(A159,#REF!,3,FALSE)</f>
        <v>#REF!</v>
      </c>
      <c r="E159" s="15">
        <f>VLOOKUP(A159,'[1]תקציב 2012 נכון להיום'!$A$2:$E$1361,5,FALSE)</f>
        <v>57889</v>
      </c>
      <c r="F159" s="15">
        <v>79000</v>
      </c>
      <c r="G159" s="15">
        <v>73102</v>
      </c>
      <c r="H159" s="15">
        <v>64636</v>
      </c>
    </row>
    <row r="160" spans="1:8" x14ac:dyDescent="0.15">
      <c r="A160">
        <v>1344400934</v>
      </c>
      <c r="B160" t="s">
        <v>424</v>
      </c>
      <c r="C160" s="16" t="e">
        <f>VLOOKUP(A160,#REF!,3,FALSE)</f>
        <v>#REF!</v>
      </c>
      <c r="E160" s="15">
        <f>VLOOKUP(A160,'[1]תקציב 2012 נכון להיום'!$A$2:$E$1361,5,FALSE)</f>
        <v>151106</v>
      </c>
      <c r="F160" s="15">
        <v>210000</v>
      </c>
      <c r="G160" s="15">
        <v>155571</v>
      </c>
      <c r="H160" s="15">
        <v>101689</v>
      </c>
    </row>
    <row r="161" spans="1:8" x14ac:dyDescent="0.15">
      <c r="A161">
        <v>1344400935</v>
      </c>
      <c r="B161" t="s">
        <v>425</v>
      </c>
      <c r="C161" s="16" t="e">
        <f>VLOOKUP(A161,#REF!,3,FALSE)</f>
        <v>#REF!</v>
      </c>
      <c r="E161" s="15">
        <f>VLOOKUP(A161,'[1]תקציב 2012 נכון להיום'!$A$2:$E$1361,5,FALSE)</f>
        <v>10950</v>
      </c>
      <c r="F161" s="15">
        <v>24000</v>
      </c>
      <c r="G161" s="15">
        <v>27972</v>
      </c>
      <c r="H161" s="15">
        <v>27999</v>
      </c>
    </row>
    <row r="162" spans="1:8" x14ac:dyDescent="0.15">
      <c r="A162">
        <v>1344400939</v>
      </c>
      <c r="B162" t="s">
        <v>426</v>
      </c>
      <c r="C162" s="16" t="e">
        <f>VLOOKUP(A162,#REF!,3,FALSE)</f>
        <v>#REF!</v>
      </c>
      <c r="E162" s="15">
        <f>VLOOKUP(A162,'[1]תקציב 2012 נכון להיום'!$A$2:$E$1361,5,FALSE)</f>
        <v>68306</v>
      </c>
      <c r="F162" s="15">
        <v>113250</v>
      </c>
      <c r="G162" s="15">
        <v>111527</v>
      </c>
      <c r="H162" s="15">
        <v>67426</v>
      </c>
    </row>
    <row r="163" spans="1:8" x14ac:dyDescent="0.15">
      <c r="A163">
        <v>1344500930</v>
      </c>
      <c r="B163" t="s">
        <v>427</v>
      </c>
      <c r="C163" s="16" t="e">
        <f>VLOOKUP(A163,#REF!,3,FALSE)</f>
        <v>#REF!</v>
      </c>
      <c r="E163" s="15">
        <f>VLOOKUP(A163,'[1]תקציב 2012 נכון להיום'!$A$2:$E$1361,5,FALSE)</f>
        <v>235571</v>
      </c>
      <c r="F163" s="15">
        <v>425200</v>
      </c>
      <c r="G163" s="15">
        <v>395504</v>
      </c>
      <c r="H163" s="15">
        <v>348040</v>
      </c>
    </row>
    <row r="164" spans="1:8" x14ac:dyDescent="0.15">
      <c r="A164">
        <v>1344500933</v>
      </c>
      <c r="B164" t="s">
        <v>428</v>
      </c>
      <c r="C164" s="16" t="e">
        <f>VLOOKUP(A164,#REF!,3,FALSE)</f>
        <v>#REF!</v>
      </c>
      <c r="E164" s="15">
        <f>VLOOKUP(A164,'[1]תקציב 2012 נכון להיום'!$A$2:$E$1361,5,FALSE)</f>
        <v>10391</v>
      </c>
      <c r="F164" s="15">
        <v>100000</v>
      </c>
      <c r="G164" s="15">
        <v>57000</v>
      </c>
      <c r="H164" s="15">
        <v>44501</v>
      </c>
    </row>
    <row r="165" spans="1:8" x14ac:dyDescent="0.15">
      <c r="A165">
        <v>1345100930</v>
      </c>
      <c r="B165" t="s">
        <v>429</v>
      </c>
      <c r="C165" s="16" t="e">
        <f>VLOOKUP(A165,#REF!,3,FALSE)</f>
        <v>#REF!</v>
      </c>
      <c r="E165" s="15">
        <f>VLOOKUP(A165,'[1]תקציב 2012 נכון להיום'!$A$2:$E$1361,5,FALSE)</f>
        <v>5115569</v>
      </c>
      <c r="F165" s="15">
        <v>6184373</v>
      </c>
      <c r="G165" s="15">
        <v>6935440</v>
      </c>
      <c r="H165" s="15">
        <v>6644775</v>
      </c>
    </row>
    <row r="166" spans="1:8" x14ac:dyDescent="0.15">
      <c r="A166">
        <v>1345100931</v>
      </c>
      <c r="B166" t="s">
        <v>430</v>
      </c>
      <c r="C166" s="16" t="e">
        <f>VLOOKUP(A166,#REF!,3,FALSE)</f>
        <v>#REF!</v>
      </c>
      <c r="E166" s="15">
        <f>VLOOKUP(A166,'[1]תקציב 2012 נכון להיום'!$A$2:$E$1361,5,FALSE)</f>
        <v>1977576</v>
      </c>
      <c r="F166" s="15">
        <v>2343000</v>
      </c>
      <c r="G166" s="15">
        <v>2518314</v>
      </c>
      <c r="H166" s="15">
        <v>2509930</v>
      </c>
    </row>
    <row r="167" spans="1:8" x14ac:dyDescent="0.15">
      <c r="A167">
        <v>1345100932</v>
      </c>
      <c r="B167" t="s">
        <v>431</v>
      </c>
      <c r="C167" s="16" t="e">
        <f>VLOOKUP(A167,#REF!,3,FALSE)</f>
        <v>#REF!</v>
      </c>
      <c r="E167" s="15">
        <f>VLOOKUP(A167,'[1]תקציב 2012 נכון להיום'!$A$2:$E$1361,5,FALSE)</f>
        <v>499025</v>
      </c>
      <c r="F167" s="15">
        <v>358800</v>
      </c>
      <c r="G167" s="15">
        <v>480374</v>
      </c>
      <c r="H167" s="15">
        <v>298793</v>
      </c>
    </row>
    <row r="168" spans="1:8" x14ac:dyDescent="0.15">
      <c r="A168">
        <v>1345100933</v>
      </c>
      <c r="B168" t="s">
        <v>432</v>
      </c>
      <c r="C168" s="16" t="e">
        <f>VLOOKUP(A168,#REF!,3,FALSE)</f>
        <v>#REF!</v>
      </c>
      <c r="E168" s="15">
        <f>VLOOKUP(A168,'[1]תקציב 2012 נכון להיום'!$A$2:$E$1361,5,FALSE)</f>
        <v>35571</v>
      </c>
      <c r="F168" s="15">
        <v>28080</v>
      </c>
      <c r="G168" s="15">
        <v>35108</v>
      </c>
      <c r="H168" s="15">
        <v>29466</v>
      </c>
    </row>
    <row r="169" spans="1:8" x14ac:dyDescent="0.15">
      <c r="A169">
        <v>1345100935</v>
      </c>
      <c r="B169" t="s">
        <v>433</v>
      </c>
      <c r="C169" s="16" t="e">
        <f>VLOOKUP(A169,#REF!,3,FALSE)</f>
        <v>#REF!</v>
      </c>
      <c r="E169" s="15">
        <f>VLOOKUP(A169,'[1]תקציב 2012 נכון להיום'!$A$2:$E$1361,5,FALSE)</f>
        <v>10220</v>
      </c>
      <c r="F169" s="15">
        <v>26100</v>
      </c>
      <c r="G169" s="15">
        <v>25778</v>
      </c>
      <c r="H169" s="15">
        <v>22526</v>
      </c>
    </row>
    <row r="170" spans="1:8" x14ac:dyDescent="0.15">
      <c r="A170">
        <v>1345100936</v>
      </c>
      <c r="B170" t="s">
        <v>434</v>
      </c>
      <c r="C170" s="16" t="e">
        <f>VLOOKUP(A170,#REF!,3,FALSE)</f>
        <v>#REF!</v>
      </c>
      <c r="E170" s="15">
        <f>VLOOKUP(A170,'[1]תקציב 2012 נכון להיום'!$A$2:$E$1361,5,FALSE)</f>
        <v>76161</v>
      </c>
      <c r="F170" s="15">
        <v>57768</v>
      </c>
      <c r="G170" s="15">
        <v>35447</v>
      </c>
      <c r="H170" s="15">
        <v>59214</v>
      </c>
    </row>
    <row r="171" spans="1:8" x14ac:dyDescent="0.15">
      <c r="A171">
        <v>1345200930</v>
      </c>
      <c r="B171" t="s">
        <v>435</v>
      </c>
      <c r="C171" s="16" t="e">
        <f>VLOOKUP(A171,#REF!,3,FALSE)</f>
        <v>#REF!</v>
      </c>
      <c r="E171" s="15">
        <f>VLOOKUP(A171,'[1]תקציב 2012 נכון להיום'!$A$2:$E$1361,5,FALSE)</f>
        <v>6627</v>
      </c>
      <c r="F171" s="15">
        <v>24338</v>
      </c>
      <c r="G171" s="15">
        <v>23833</v>
      </c>
      <c r="H171" s="15">
        <v>23500</v>
      </c>
    </row>
    <row r="172" spans="1:8" x14ac:dyDescent="0.15">
      <c r="A172">
        <v>1345200931</v>
      </c>
      <c r="B172" t="s">
        <v>436</v>
      </c>
      <c r="C172" s="16" t="e">
        <f>VLOOKUP(A172,#REF!,3,FALSE)</f>
        <v>#REF!</v>
      </c>
      <c r="E172" s="15">
        <f>VLOOKUP(A172,'[1]תקציב 2012 נכון להיום'!$A$2:$E$1361,5,FALSE)</f>
        <v>317237</v>
      </c>
      <c r="F172" s="15">
        <v>324000</v>
      </c>
      <c r="G172" s="15">
        <v>391606</v>
      </c>
      <c r="H172" s="15">
        <v>425806</v>
      </c>
    </row>
    <row r="173" spans="1:8" x14ac:dyDescent="0.15">
      <c r="A173">
        <v>1345200932</v>
      </c>
      <c r="B173" t="s">
        <v>437</v>
      </c>
      <c r="C173" s="16" t="e">
        <f>VLOOKUP(A173,#REF!,3,FALSE)</f>
        <v>#REF!</v>
      </c>
      <c r="E173" s="15">
        <f>VLOOKUP(A173,'[1]תקציב 2012 נכון להיום'!$A$2:$E$1361,5,FALSE)</f>
        <v>306028</v>
      </c>
      <c r="F173" s="15">
        <v>443800</v>
      </c>
      <c r="G173" s="15">
        <v>440445</v>
      </c>
      <c r="H173" s="15">
        <v>435928</v>
      </c>
    </row>
    <row r="174" spans="1:8" x14ac:dyDescent="0.15">
      <c r="A174">
        <v>1345200935</v>
      </c>
      <c r="B174" t="s">
        <v>438</v>
      </c>
      <c r="C174" s="16" t="e">
        <f>VLOOKUP(A174,#REF!,3,FALSE)</f>
        <v>#REF!</v>
      </c>
      <c r="E174" s="15">
        <f>VLOOKUP(A174,'[1]תקציב 2012 נכון להיום'!$A$2:$E$1361,5,FALSE)</f>
        <v>0</v>
      </c>
      <c r="F174" s="15">
        <v>57768</v>
      </c>
      <c r="G174" s="15">
        <v>0</v>
      </c>
      <c r="H174" s="15">
        <v>27851</v>
      </c>
    </row>
    <row r="175" spans="1:8" x14ac:dyDescent="0.15">
      <c r="A175">
        <v>1345300930</v>
      </c>
      <c r="B175" t="s">
        <v>298</v>
      </c>
      <c r="C175" s="16" t="e">
        <f>VLOOKUP(A175,#REF!,3,FALSE)</f>
        <v>#REF!</v>
      </c>
      <c r="E175" s="15">
        <f>VLOOKUP(A175,'[1]תקציב 2012 נכון להיום'!$A$2:$E$1361,5,FALSE)</f>
        <v>11399</v>
      </c>
      <c r="F175" s="15">
        <v>106250</v>
      </c>
      <c r="G175" s="15">
        <v>909</v>
      </c>
      <c r="H175" s="15">
        <v>0</v>
      </c>
    </row>
    <row r="176" spans="1:8" x14ac:dyDescent="0.15">
      <c r="A176">
        <v>1345300931</v>
      </c>
      <c r="B176" t="s">
        <v>439</v>
      </c>
      <c r="C176" s="16" t="e">
        <f>VLOOKUP(A176,#REF!,3,FALSE)</f>
        <v>#REF!</v>
      </c>
      <c r="E176" s="15">
        <f>VLOOKUP(A176,'[1]תקציב 2012 נכון להיום'!$A$2:$E$1361,5,FALSE)</f>
        <v>14709</v>
      </c>
      <c r="F176" s="15">
        <v>46850</v>
      </c>
      <c r="G176" s="15">
        <v>27122</v>
      </c>
      <c r="H176" s="15">
        <v>33728</v>
      </c>
    </row>
    <row r="177" spans="1:8" x14ac:dyDescent="0.15">
      <c r="A177">
        <v>1345300933</v>
      </c>
      <c r="B177" t="s">
        <v>440</v>
      </c>
      <c r="C177" s="16" t="e">
        <f>VLOOKUP(A177,#REF!,3,FALSE)</f>
        <v>#REF!</v>
      </c>
      <c r="E177" s="15">
        <f>VLOOKUP(A177,'[1]תקציב 2012 נכון להיום'!$A$2:$E$1361,5,FALSE)</f>
        <v>6205</v>
      </c>
      <c r="F177" s="15">
        <v>18450</v>
      </c>
      <c r="G177" s="15">
        <v>18489</v>
      </c>
      <c r="H177" s="15">
        <v>19801</v>
      </c>
    </row>
    <row r="178" spans="1:8" x14ac:dyDescent="0.15">
      <c r="A178">
        <v>1345300935</v>
      </c>
      <c r="B178" t="s">
        <v>441</v>
      </c>
      <c r="C178" s="16" t="e">
        <f>VLOOKUP(A178,#REF!,3,FALSE)</f>
        <v>#REF!</v>
      </c>
      <c r="E178" s="15">
        <f>VLOOKUP(A178,'[1]תקציב 2012 נכון להיום'!$A$2:$E$1361,5,FALSE)</f>
        <v>94577</v>
      </c>
      <c r="F178" s="15">
        <v>165750</v>
      </c>
      <c r="G178" s="15">
        <v>192020</v>
      </c>
      <c r="H178" s="15">
        <v>183469</v>
      </c>
    </row>
    <row r="179" spans="1:8" x14ac:dyDescent="0.15">
      <c r="A179">
        <v>1346100930</v>
      </c>
      <c r="B179" t="s">
        <v>442</v>
      </c>
      <c r="C179" s="16" t="e">
        <f>VLOOKUP(A179,#REF!,3,FALSE)</f>
        <v>#REF!</v>
      </c>
      <c r="E179" s="15">
        <f>VLOOKUP(A179,'[1]תקציב 2012 נכון להיום'!$A$2:$E$1361,5,FALSE)</f>
        <v>62350</v>
      </c>
      <c r="F179" s="15">
        <v>87847</v>
      </c>
      <c r="G179" s="15">
        <v>81291</v>
      </c>
      <c r="H179" s="15">
        <v>74274</v>
      </c>
    </row>
    <row r="180" spans="1:8" x14ac:dyDescent="0.15">
      <c r="A180">
        <v>1346300931</v>
      </c>
      <c r="B180" t="s">
        <v>443</v>
      </c>
      <c r="C180" s="16" t="e">
        <f>VLOOKUP(A180,#REF!,3,FALSE)</f>
        <v>#REF!</v>
      </c>
      <c r="E180" s="15">
        <f>VLOOKUP(A180,'[1]תקציב 2012 נכון להיום'!$A$2:$E$1361,5,FALSE)</f>
        <v>20880</v>
      </c>
      <c r="F180" s="15">
        <v>37500</v>
      </c>
      <c r="G180" s="15">
        <v>12481</v>
      </c>
      <c r="H180" s="15">
        <v>39147</v>
      </c>
    </row>
    <row r="181" spans="1:8" x14ac:dyDescent="0.15">
      <c r="A181">
        <v>1346300933</v>
      </c>
      <c r="B181" t="s">
        <v>444</v>
      </c>
      <c r="C181" s="16" t="e">
        <f>VLOOKUP(A181,#REF!,3,FALSE)</f>
        <v>#REF!</v>
      </c>
      <c r="E181" s="15">
        <f>VLOOKUP(A181,'[1]תקציב 2012 נכון להיום'!$A$2:$E$1361,5,FALSE)</f>
        <v>4380</v>
      </c>
      <c r="F181" s="15">
        <v>7500</v>
      </c>
      <c r="G181" s="15">
        <v>6074</v>
      </c>
      <c r="H181" s="15">
        <v>7547</v>
      </c>
    </row>
    <row r="182" spans="1:8" x14ac:dyDescent="0.15">
      <c r="A182">
        <v>1346400931</v>
      </c>
      <c r="B182" t="s">
        <v>445</v>
      </c>
      <c r="C182" s="16" t="e">
        <f>VLOOKUP(A182,#REF!,3,FALSE)</f>
        <v>#REF!</v>
      </c>
      <c r="E182" s="15">
        <f>VLOOKUP(A182,'[1]תקציב 2012 נכון להיום'!$A$2:$E$1361,5,FALSE)</f>
        <v>25842</v>
      </c>
      <c r="F182" s="15">
        <v>3750</v>
      </c>
      <c r="G182" s="15">
        <v>41046</v>
      </c>
      <c r="H182" s="15">
        <v>1166</v>
      </c>
    </row>
    <row r="183" spans="1:8" x14ac:dyDescent="0.15">
      <c r="A183">
        <v>1346500930</v>
      </c>
      <c r="B183" t="s">
        <v>446</v>
      </c>
      <c r="C183" s="16" t="e">
        <f>VLOOKUP(A183,#REF!,3,FALSE)</f>
        <v>#REF!</v>
      </c>
      <c r="E183" s="15">
        <f>VLOOKUP(A183,'[1]תקציב 2012 נכון להיום'!$A$2:$E$1361,5,FALSE)</f>
        <v>1236466</v>
      </c>
      <c r="F183" s="15">
        <v>1725000</v>
      </c>
      <c r="G183" s="15">
        <v>1658644</v>
      </c>
      <c r="H183" s="15">
        <v>1832363</v>
      </c>
    </row>
    <row r="184" spans="1:8" x14ac:dyDescent="0.15">
      <c r="A184">
        <v>1346600930</v>
      </c>
      <c r="B184" t="s">
        <v>447</v>
      </c>
      <c r="C184" s="16" t="e">
        <f>VLOOKUP(A184,#REF!,3,FALSE)</f>
        <v>#REF!</v>
      </c>
      <c r="E184" s="15">
        <f>VLOOKUP(A184,'[1]תקציב 2012 נכון להיום'!$A$2:$E$1361,5,FALSE)</f>
        <v>35040</v>
      </c>
      <c r="F184" s="15">
        <v>34500</v>
      </c>
      <c r="G184" s="15">
        <v>31828</v>
      </c>
      <c r="H184" s="15">
        <v>44738</v>
      </c>
    </row>
    <row r="185" spans="1:8" x14ac:dyDescent="0.15">
      <c r="A185">
        <v>1346600931</v>
      </c>
      <c r="B185" t="s">
        <v>448</v>
      </c>
      <c r="C185" s="16" t="e">
        <f>VLOOKUP(A185,#REF!,3,FALSE)</f>
        <v>#REF!</v>
      </c>
      <c r="E185" s="15">
        <f>VLOOKUP(A185,'[1]תקציב 2012 נכון להיום'!$A$2:$E$1361,5,FALSE)</f>
        <v>40515</v>
      </c>
      <c r="F185" s="15">
        <v>40395</v>
      </c>
      <c r="G185" s="15">
        <v>47706</v>
      </c>
      <c r="H185" s="15">
        <v>36933</v>
      </c>
    </row>
    <row r="186" spans="1:8" x14ac:dyDescent="0.15">
      <c r="A186">
        <v>1346700930</v>
      </c>
      <c r="B186" t="s">
        <v>449</v>
      </c>
      <c r="C186" s="16" t="e">
        <f>VLOOKUP(A186,#REF!,3,FALSE)</f>
        <v>#REF!</v>
      </c>
      <c r="E186" s="15">
        <f>VLOOKUP(A186,'[1]תקציב 2012 נכון להיום'!$A$2:$E$1361,5,FALSE)</f>
        <v>0</v>
      </c>
      <c r="F186" s="15">
        <v>24000</v>
      </c>
      <c r="G186" s="15">
        <v>0</v>
      </c>
      <c r="H186" s="15">
        <v>12073</v>
      </c>
    </row>
    <row r="187" spans="1:8" x14ac:dyDescent="0.15">
      <c r="A187">
        <v>1346700933</v>
      </c>
      <c r="B187" t="s">
        <v>303</v>
      </c>
      <c r="C187" s="16" t="e">
        <f>VLOOKUP(A187,#REF!,3,FALSE)</f>
        <v>#REF!</v>
      </c>
      <c r="E187" s="15">
        <f>VLOOKUP(A187,'[1]תקציב 2012 נכון להיום'!$A$2:$E$1361,5,FALSE)</f>
        <v>111641</v>
      </c>
      <c r="F187" s="15">
        <v>341077</v>
      </c>
      <c r="G187" s="15">
        <v>301619</v>
      </c>
      <c r="H187" s="15">
        <v>313303</v>
      </c>
    </row>
    <row r="188" spans="1:8" x14ac:dyDescent="0.15">
      <c r="A188">
        <v>1346700934</v>
      </c>
      <c r="B188" t="s">
        <v>450</v>
      </c>
      <c r="C188" s="16" t="e">
        <f>VLOOKUP(A188,#REF!,3,FALSE)</f>
        <v>#REF!</v>
      </c>
      <c r="E188" s="15">
        <f>VLOOKUP(A188,'[1]תקציב 2012 נכון להיום'!$A$2:$E$1361,5,FALSE)</f>
        <v>107827</v>
      </c>
      <c r="F188" s="15">
        <v>356250</v>
      </c>
      <c r="G188" s="15">
        <v>285599</v>
      </c>
      <c r="H188" s="15">
        <v>217689</v>
      </c>
    </row>
    <row r="189" spans="1:8" x14ac:dyDescent="0.15">
      <c r="A189">
        <v>1346700935</v>
      </c>
      <c r="B189" t="s">
        <v>451</v>
      </c>
      <c r="C189" s="16" t="e">
        <f>VLOOKUP(A189,#REF!,3,FALSE)</f>
        <v>#REF!</v>
      </c>
      <c r="E189" s="15">
        <f>VLOOKUP(A189,'[1]תקציב 2012 נכון להיום'!$A$2:$E$1361,5,FALSE)</f>
        <v>48287</v>
      </c>
      <c r="F189" s="15">
        <v>116250</v>
      </c>
      <c r="G189" s="15">
        <v>115603</v>
      </c>
      <c r="H189" s="15">
        <v>57463</v>
      </c>
    </row>
    <row r="190" spans="1:8" x14ac:dyDescent="0.15">
      <c r="A190">
        <v>1346700936</v>
      </c>
      <c r="B190" t="s">
        <v>452</v>
      </c>
      <c r="C190" s="16" t="e">
        <f>VLOOKUP(A190,#REF!,3,FALSE)</f>
        <v>#REF!</v>
      </c>
      <c r="E190" s="15">
        <f>VLOOKUP(A190,'[1]תקציב 2012 נכון להיום'!$A$2:$E$1361,5,FALSE)</f>
        <v>0</v>
      </c>
      <c r="F190" s="15">
        <v>2982</v>
      </c>
      <c r="G190" s="15">
        <v>0</v>
      </c>
      <c r="H190" s="15">
        <v>0</v>
      </c>
    </row>
    <row r="191" spans="1:8" x14ac:dyDescent="0.15">
      <c r="A191">
        <v>1346700937</v>
      </c>
      <c r="B191" t="s">
        <v>453</v>
      </c>
      <c r="C191" s="16" t="e">
        <f>VLOOKUP(A191,#REF!,3,FALSE)</f>
        <v>#REF!</v>
      </c>
      <c r="E191" s="15">
        <f>VLOOKUP(A191,'[1]תקציב 2012 נכון להיום'!$A$2:$E$1361,5,FALSE)</f>
        <v>515</v>
      </c>
      <c r="F191" s="15">
        <v>9000</v>
      </c>
      <c r="G191" s="15">
        <v>3515</v>
      </c>
      <c r="H191" s="15">
        <v>8738</v>
      </c>
    </row>
    <row r="192" spans="1:8" x14ac:dyDescent="0.15">
      <c r="A192">
        <v>1346700938</v>
      </c>
      <c r="B192" t="s">
        <v>454</v>
      </c>
      <c r="C192" s="16" t="e">
        <f>VLOOKUP(A192,#REF!,3,FALSE)</f>
        <v>#REF!</v>
      </c>
      <c r="E192" s="15">
        <f>VLOOKUP(A192,'[1]תקציב 2012 נכון להיום'!$A$2:$E$1361,5,FALSE)</f>
        <v>2421</v>
      </c>
      <c r="F192" s="15">
        <v>9000</v>
      </c>
      <c r="G192" s="15">
        <v>9464</v>
      </c>
      <c r="H192" s="15">
        <v>7410</v>
      </c>
    </row>
    <row r="193" spans="1:8" x14ac:dyDescent="0.15">
      <c r="A193">
        <v>1346800932</v>
      </c>
      <c r="B193" t="s">
        <v>455</v>
      </c>
      <c r="C193" s="16" t="e">
        <f>VLOOKUP(A193,#REF!,3,FALSE)</f>
        <v>#REF!</v>
      </c>
      <c r="E193" s="15">
        <f>VLOOKUP(A193,'[1]תקציב 2012 נכון להיום'!$A$2:$E$1361,5,FALSE)</f>
        <v>3571</v>
      </c>
      <c r="F193" s="15">
        <v>37500</v>
      </c>
      <c r="G193" s="15">
        <v>14361</v>
      </c>
      <c r="H193" s="15">
        <v>35282</v>
      </c>
    </row>
    <row r="194" spans="1:8" x14ac:dyDescent="0.15">
      <c r="A194">
        <v>1346800933</v>
      </c>
      <c r="B194" t="s">
        <v>456</v>
      </c>
      <c r="C194" s="16" t="e">
        <f>VLOOKUP(A194,#REF!,3,FALSE)</f>
        <v>#REF!</v>
      </c>
      <c r="E194" s="15">
        <f>VLOOKUP(A194,'[1]תקציב 2012 נכון להיום'!$A$2:$E$1361,5,FALSE)</f>
        <v>193705</v>
      </c>
      <c r="F194" s="15">
        <v>394950</v>
      </c>
      <c r="G194" s="15">
        <v>630257</v>
      </c>
      <c r="H194" s="15">
        <v>409757</v>
      </c>
    </row>
    <row r="195" spans="1:8" x14ac:dyDescent="0.15">
      <c r="A195">
        <v>1346800934</v>
      </c>
      <c r="B195" t="s">
        <v>457</v>
      </c>
      <c r="C195" s="16" t="e">
        <f>VLOOKUP(A195,#REF!,3,FALSE)</f>
        <v>#REF!</v>
      </c>
      <c r="E195" s="15">
        <f>VLOOKUP(A195,'[1]תקציב 2012 נכון להיום'!$A$2:$E$1361,5,FALSE)</f>
        <v>11684</v>
      </c>
      <c r="F195" s="15">
        <v>37500</v>
      </c>
      <c r="G195" s="15">
        <v>29471</v>
      </c>
      <c r="H195" s="15">
        <v>31087</v>
      </c>
    </row>
    <row r="196" spans="1:8" x14ac:dyDescent="0.15">
      <c r="A196">
        <v>1346800935</v>
      </c>
      <c r="B196" t="s">
        <v>458</v>
      </c>
      <c r="C196" s="16" t="e">
        <f>VLOOKUP(A196,#REF!,3,FALSE)</f>
        <v>#REF!</v>
      </c>
      <c r="E196" s="15">
        <f>VLOOKUP(A196,'[1]תקציב 2012 נכון להיום'!$A$2:$E$1361,5,FALSE)</f>
        <v>52560</v>
      </c>
      <c r="F196" s="15">
        <v>110250</v>
      </c>
      <c r="G196" s="15">
        <v>110574</v>
      </c>
      <c r="H196" s="15">
        <v>110333</v>
      </c>
    </row>
    <row r="197" spans="1:8" x14ac:dyDescent="0.15">
      <c r="A197">
        <v>1346800936</v>
      </c>
      <c r="B197" t="s">
        <v>459</v>
      </c>
      <c r="C197" s="16" t="e">
        <f>VLOOKUP(A197,#REF!,3,FALSE)</f>
        <v>#REF!</v>
      </c>
      <c r="E197" s="15">
        <f>VLOOKUP(A197,'[1]תקציב 2012 נכון להיום'!$A$2:$E$1361,5,FALSE)</f>
        <v>91250</v>
      </c>
      <c r="F197" s="15">
        <v>150000</v>
      </c>
      <c r="G197" s="15">
        <v>101783</v>
      </c>
      <c r="H197" s="15">
        <v>0</v>
      </c>
    </row>
    <row r="198" spans="1:8" x14ac:dyDescent="0.15">
      <c r="A198">
        <v>1346800939</v>
      </c>
      <c r="B198" t="s">
        <v>460</v>
      </c>
      <c r="C198" s="16" t="e">
        <f>VLOOKUP(A198,#REF!,3,FALSE)</f>
        <v>#REF!</v>
      </c>
      <c r="E198" s="15">
        <f>VLOOKUP(A198,'[1]תקציב 2012 נכון להיום'!$A$2:$E$1361,5,FALSE)</f>
        <v>0</v>
      </c>
      <c r="F198" s="15">
        <v>0</v>
      </c>
      <c r="G198" s="15">
        <v>0</v>
      </c>
      <c r="H198" s="15">
        <v>0</v>
      </c>
    </row>
    <row r="199" spans="1:8" x14ac:dyDescent="0.15">
      <c r="A199">
        <v>1347100931</v>
      </c>
      <c r="B199" t="s">
        <v>461</v>
      </c>
      <c r="C199" s="16" t="e">
        <f>VLOOKUP(A199,#REF!,3,FALSE)</f>
        <v>#REF!</v>
      </c>
      <c r="E199" s="15">
        <f>VLOOKUP(A199,'[1]תקציב 2012 נכון להיום'!$A$2:$E$1361,5,FALSE)</f>
        <v>134744</v>
      </c>
      <c r="F199" s="15">
        <v>99650</v>
      </c>
      <c r="G199" s="15">
        <v>144427</v>
      </c>
      <c r="H199" s="15">
        <v>44157</v>
      </c>
    </row>
    <row r="200" spans="1:8" x14ac:dyDescent="0.15">
      <c r="A200">
        <v>1347100933</v>
      </c>
      <c r="B200" t="s">
        <v>462</v>
      </c>
      <c r="C200" s="16" t="e">
        <f>VLOOKUP(A200,#REF!,3,FALSE)</f>
        <v>#REF!</v>
      </c>
      <c r="E200" s="15">
        <f>VLOOKUP(A200,'[1]תקציב 2012 נכון להיום'!$A$2:$E$1361,5,FALSE)</f>
        <v>0</v>
      </c>
      <c r="F200" s="15">
        <v>22500</v>
      </c>
      <c r="G200" s="15">
        <v>4719</v>
      </c>
      <c r="H200" s="15">
        <v>91159</v>
      </c>
    </row>
    <row r="201" spans="1:8" x14ac:dyDescent="0.15">
      <c r="A201">
        <v>1347100934</v>
      </c>
      <c r="B201" t="s">
        <v>463</v>
      </c>
      <c r="C201" s="16" t="e">
        <f>VLOOKUP(A201,#REF!,3,FALSE)</f>
        <v>#REF!</v>
      </c>
      <c r="E201" s="15">
        <f>VLOOKUP(A201,'[1]תקציב 2012 נכון להיום'!$A$2:$E$1361,5,FALSE)</f>
        <v>95630</v>
      </c>
      <c r="F201" s="15">
        <v>106250</v>
      </c>
      <c r="G201" s="15">
        <v>98205</v>
      </c>
      <c r="H201" s="15">
        <v>0</v>
      </c>
    </row>
    <row r="202" spans="1:8" x14ac:dyDescent="0.15">
      <c r="A202">
        <v>1347110930</v>
      </c>
      <c r="B202" t="s">
        <v>464</v>
      </c>
      <c r="C202" s="16" t="e">
        <f>VLOOKUP(A202,#REF!,3,FALSE)</f>
        <v>#REF!</v>
      </c>
      <c r="E202" s="15">
        <f>VLOOKUP(A202,'[1]תקציב 2012 נכון להיום'!$A$2:$E$1361,5,FALSE)</f>
        <v>0</v>
      </c>
      <c r="F202" s="15">
        <v>80000</v>
      </c>
      <c r="G202" s="15">
        <v>0</v>
      </c>
      <c r="H202" s="15">
        <v>4160</v>
      </c>
    </row>
    <row r="203" spans="1:8" x14ac:dyDescent="0.15">
      <c r="A203">
        <v>1347140932</v>
      </c>
      <c r="B203" t="s">
        <v>465</v>
      </c>
      <c r="C203" s="16" t="e">
        <f>VLOOKUP(A203,#REF!,3,FALSE)</f>
        <v>#REF!</v>
      </c>
      <c r="E203" s="15">
        <f>VLOOKUP(A203,'[1]תקציב 2012 נכון להיום'!$A$2:$E$1361,5,FALSE)</f>
        <v>12083</v>
      </c>
      <c r="F203" s="15">
        <v>30225</v>
      </c>
      <c r="G203" s="15">
        <v>25192</v>
      </c>
      <c r="H203" s="15">
        <v>26005</v>
      </c>
    </row>
    <row r="204" spans="1:8" x14ac:dyDescent="0.15">
      <c r="A204">
        <v>1347300930</v>
      </c>
      <c r="B204" t="s">
        <v>466</v>
      </c>
      <c r="C204" s="16" t="e">
        <f>VLOOKUP(A204,#REF!,3,FALSE)</f>
        <v>#REF!</v>
      </c>
      <c r="E204" s="15">
        <f>VLOOKUP(A204,'[1]תקציב 2012 נכון להיום'!$A$2:$E$1361,5,FALSE)</f>
        <v>3000</v>
      </c>
      <c r="F204" s="15">
        <v>6000</v>
      </c>
      <c r="G204" s="15">
        <v>6017</v>
      </c>
      <c r="H204" s="15">
        <v>6000</v>
      </c>
    </row>
    <row r="205" spans="1:8" x14ac:dyDescent="0.15">
      <c r="A205">
        <v>1347300932</v>
      </c>
      <c r="B205" t="s">
        <v>467</v>
      </c>
      <c r="C205" s="16" t="e">
        <f>VLOOKUP(A205,#REF!,3,FALSE)</f>
        <v>#REF!</v>
      </c>
      <c r="E205" s="15">
        <f>VLOOKUP(A205,'[1]תקציב 2012 נכון להיום'!$A$2:$E$1361,5,FALSE)</f>
        <v>15002</v>
      </c>
      <c r="F205" s="15">
        <v>14531</v>
      </c>
      <c r="G205" s="15">
        <v>12110</v>
      </c>
      <c r="H205" s="15">
        <v>3296</v>
      </c>
    </row>
    <row r="206" spans="1:8" x14ac:dyDescent="0.15">
      <c r="A206">
        <v>1347300934</v>
      </c>
      <c r="B206" t="s">
        <v>468</v>
      </c>
      <c r="C206" s="16" t="e">
        <f>VLOOKUP(A206,#REF!,3,FALSE)</f>
        <v>#REF!</v>
      </c>
      <c r="E206" s="15">
        <f>VLOOKUP(A206,'[1]תקציב 2012 נכון להיום'!$A$2:$E$1361,5,FALSE)</f>
        <v>11480</v>
      </c>
      <c r="F206" s="15">
        <v>73250</v>
      </c>
      <c r="G206" s="15">
        <v>99802</v>
      </c>
      <c r="H206" s="15">
        <v>0</v>
      </c>
    </row>
    <row r="207" spans="1:8" x14ac:dyDescent="0.15">
      <c r="A207">
        <v>1347300935</v>
      </c>
      <c r="B207" t="s">
        <v>469</v>
      </c>
      <c r="C207" s="16" t="e">
        <f>VLOOKUP(A207,#REF!,3,FALSE)</f>
        <v>#REF!</v>
      </c>
      <c r="E207" s="15">
        <f>VLOOKUP(A207,'[1]תקציב 2012 נכון להיום'!$A$2:$E$1361,5,FALSE)</f>
        <v>0</v>
      </c>
      <c r="F207" s="15">
        <v>7500</v>
      </c>
      <c r="G207" s="15">
        <v>5751</v>
      </c>
      <c r="H207" s="15">
        <v>0</v>
      </c>
    </row>
    <row r="208" spans="1:8" x14ac:dyDescent="0.15">
      <c r="A208">
        <v>1347400931</v>
      </c>
      <c r="B208" t="s">
        <v>470</v>
      </c>
      <c r="C208" s="16" t="e">
        <f>VLOOKUP(A208,#REF!,3,FALSE)</f>
        <v>#REF!</v>
      </c>
      <c r="E208" s="15">
        <f>VLOOKUP(A208,'[1]תקציב 2012 נכון להיום'!$A$2:$E$1361,5,FALSE)</f>
        <v>133313</v>
      </c>
      <c r="F208" s="15">
        <v>173880</v>
      </c>
      <c r="G208" s="15">
        <v>237333</v>
      </c>
      <c r="H208" s="15">
        <v>204348</v>
      </c>
    </row>
    <row r="209" spans="1:8" x14ac:dyDescent="0.15">
      <c r="A209">
        <v>1347400933</v>
      </c>
      <c r="B209" t="s">
        <v>471</v>
      </c>
      <c r="C209" s="16" t="e">
        <f>VLOOKUP(A209,#REF!,3,FALSE)</f>
        <v>#REF!</v>
      </c>
      <c r="E209" s="15">
        <f>VLOOKUP(A209,'[1]תקציב 2012 נכון להיום'!$A$2:$E$1361,5,FALSE)</f>
        <v>16425</v>
      </c>
      <c r="F209" s="15">
        <v>22500</v>
      </c>
      <c r="G209" s="15">
        <v>18509</v>
      </c>
      <c r="H209" s="15">
        <v>12249</v>
      </c>
    </row>
    <row r="210" spans="1:8" x14ac:dyDescent="0.15">
      <c r="A210">
        <v>1347400934</v>
      </c>
      <c r="B210" t="s">
        <v>472</v>
      </c>
      <c r="C210" s="16" t="e">
        <f>VLOOKUP(A210,#REF!,3,FALSE)</f>
        <v>#REF!</v>
      </c>
      <c r="E210" s="15">
        <f>VLOOKUP(A210,'[1]תקציב 2012 נכון להיום'!$A$2:$E$1361,5,FALSE)</f>
        <v>0</v>
      </c>
      <c r="F210" s="15">
        <v>18000</v>
      </c>
      <c r="G210" s="15">
        <v>6075</v>
      </c>
      <c r="H210" s="15">
        <v>0</v>
      </c>
    </row>
    <row r="211" spans="1:8" x14ac:dyDescent="0.15">
      <c r="A211">
        <v>1347400935</v>
      </c>
      <c r="B211" t="s">
        <v>473</v>
      </c>
      <c r="C211" s="16" t="e">
        <f>VLOOKUP(A211,#REF!,3,FALSE)</f>
        <v>#REF!</v>
      </c>
      <c r="E211" s="15">
        <f>VLOOKUP(A211,'[1]תקציב 2012 נכון להיום'!$A$2:$E$1361,5,FALSE)</f>
        <v>20805</v>
      </c>
      <c r="F211" s="15">
        <v>28500</v>
      </c>
      <c r="G211" s="15">
        <v>17786</v>
      </c>
      <c r="H211" s="15">
        <v>12375</v>
      </c>
    </row>
    <row r="212" spans="1:8" x14ac:dyDescent="0.15">
      <c r="A212">
        <v>1348200931</v>
      </c>
      <c r="B212" t="s">
        <v>474</v>
      </c>
      <c r="C212" s="16" t="e">
        <f>VLOOKUP(A212,#REF!,3,FALSE)</f>
        <v>#REF!</v>
      </c>
      <c r="E212" s="15">
        <f>VLOOKUP(A212,'[1]תקציב 2012 נכון להיום'!$A$2:$E$1361,5,FALSE)</f>
        <v>0</v>
      </c>
      <c r="F212" s="15">
        <v>110000</v>
      </c>
      <c r="G212" s="15">
        <v>21877</v>
      </c>
      <c r="H212" s="15">
        <v>19923</v>
      </c>
    </row>
    <row r="213" spans="1:8" x14ac:dyDescent="0.15">
      <c r="A213">
        <v>1348300930</v>
      </c>
      <c r="B213" t="s">
        <v>475</v>
      </c>
      <c r="C213" s="16" t="e">
        <f>VLOOKUP(A213,#REF!,3,FALSE)</f>
        <v>#REF!</v>
      </c>
      <c r="E213" s="15">
        <f>VLOOKUP(A213,'[1]תקציב 2012 נכון להיום'!$A$2:$E$1361,5,FALSE)</f>
        <v>0</v>
      </c>
      <c r="F213" s="15">
        <v>13000</v>
      </c>
      <c r="G213" s="15">
        <v>2530</v>
      </c>
      <c r="H213" s="15">
        <v>1923</v>
      </c>
    </row>
    <row r="214" spans="1:8" x14ac:dyDescent="0.15">
      <c r="A214">
        <v>1348400930</v>
      </c>
      <c r="B214" t="s">
        <v>476</v>
      </c>
      <c r="C214" s="16" t="e">
        <f>VLOOKUP(A214,#REF!,3,FALSE)</f>
        <v>#REF!</v>
      </c>
      <c r="E214" s="15">
        <f>VLOOKUP(A214,'[1]תקציב 2012 נכון להיום'!$A$2:$E$1361,5,FALSE)</f>
        <v>0</v>
      </c>
      <c r="F214" s="15">
        <v>2000</v>
      </c>
      <c r="G214" s="15">
        <v>956</v>
      </c>
      <c r="H214" s="15">
        <v>2515</v>
      </c>
    </row>
    <row r="215" spans="1:8" x14ac:dyDescent="0.15">
      <c r="A215">
        <v>1348500932</v>
      </c>
      <c r="B215" t="s">
        <v>477</v>
      </c>
      <c r="C215" s="16" t="e">
        <f>VLOOKUP(A215,#REF!,3,FALSE)</f>
        <v>#REF!</v>
      </c>
      <c r="E215" s="15">
        <f>VLOOKUP(A215,'[1]תקציב 2012 נכון להיום'!$A$2:$E$1361,5,FALSE)</f>
        <v>7500</v>
      </c>
      <c r="F215" s="15">
        <v>12000</v>
      </c>
      <c r="G215" s="15">
        <v>30000</v>
      </c>
      <c r="H215" s="15">
        <v>0</v>
      </c>
    </row>
    <row r="216" spans="1:8" x14ac:dyDescent="0.15">
      <c r="A216">
        <v>1349000930</v>
      </c>
      <c r="B216" t="s">
        <v>478</v>
      </c>
      <c r="C216" s="16" t="e">
        <f>VLOOKUP(A216,#REF!,3,FALSE)</f>
        <v>#REF!</v>
      </c>
      <c r="E216" s="15">
        <f>VLOOKUP(A216,'[1]תקציב 2012 נכון להיום'!$A$2:$E$1361,5,FALSE)</f>
        <v>22510</v>
      </c>
      <c r="F216" s="15">
        <v>13260</v>
      </c>
      <c r="G216" s="15">
        <v>24342</v>
      </c>
      <c r="H216" s="15">
        <v>42511</v>
      </c>
    </row>
    <row r="217" spans="1:8" x14ac:dyDescent="0.15">
      <c r="A217">
        <v>1349000931</v>
      </c>
      <c r="B217" t="s">
        <v>479</v>
      </c>
      <c r="C217" s="16" t="e">
        <f>VLOOKUP(A217,#REF!,3,FALSE)</f>
        <v>#REF!</v>
      </c>
      <c r="E217" s="15">
        <f>VLOOKUP(A217,'[1]תקציב 2012 נכון להיום'!$A$2:$E$1361,5,FALSE)</f>
        <v>19092</v>
      </c>
      <c r="F217" s="15">
        <v>46697</v>
      </c>
      <c r="G217" s="15">
        <v>45301</v>
      </c>
      <c r="H217" s="15">
        <v>25692</v>
      </c>
    </row>
    <row r="218" spans="1:8" x14ac:dyDescent="0.15">
      <c r="A218">
        <v>1349000932</v>
      </c>
      <c r="B218" t="s">
        <v>480</v>
      </c>
      <c r="C218" s="16" t="e">
        <f>VLOOKUP(A218,#REF!,3,FALSE)</f>
        <v>#REF!</v>
      </c>
      <c r="E218" s="15">
        <f>VLOOKUP(A218,'[1]תקציב 2012 נכון להיום'!$A$2:$E$1361,5,FALSE)</f>
        <v>26269</v>
      </c>
      <c r="F218" s="15">
        <v>38119</v>
      </c>
      <c r="G218" s="15">
        <v>34237</v>
      </c>
      <c r="H218" s="15">
        <v>28950</v>
      </c>
    </row>
    <row r="219" spans="1:8" x14ac:dyDescent="0.15">
      <c r="A219">
        <v>1349000933</v>
      </c>
      <c r="B219" t="s">
        <v>481</v>
      </c>
      <c r="C219" s="16" t="e">
        <f>VLOOKUP(A219,#REF!,3,FALSE)</f>
        <v>#REF!</v>
      </c>
      <c r="E219" s="15">
        <f>VLOOKUP(A219,'[1]תקציב 2012 נכון להיום'!$A$2:$E$1361,5,FALSE)</f>
        <v>75489</v>
      </c>
      <c r="F219" s="15">
        <v>101475</v>
      </c>
      <c r="G219" s="15">
        <v>104886</v>
      </c>
      <c r="H219" s="15">
        <v>95827</v>
      </c>
    </row>
    <row r="220" spans="1:8" x14ac:dyDescent="0.15">
      <c r="A220">
        <v>1349000934</v>
      </c>
      <c r="B220" t="s">
        <v>482</v>
      </c>
      <c r="C220" s="16" t="e">
        <f>VLOOKUP(A220,#REF!,3,FALSE)</f>
        <v>#REF!</v>
      </c>
      <c r="E220" s="15">
        <f>VLOOKUP(A220,'[1]תקציב 2012 נכון להיום'!$A$2:$E$1361,5,FALSE)</f>
        <v>193411</v>
      </c>
      <c r="F220" s="15">
        <v>298425</v>
      </c>
      <c r="G220" s="15">
        <v>293020</v>
      </c>
      <c r="H220" s="15">
        <v>329201</v>
      </c>
    </row>
    <row r="221" spans="1:8" x14ac:dyDescent="0.15">
      <c r="A221">
        <v>1349000935</v>
      </c>
      <c r="B221" t="s">
        <v>483</v>
      </c>
      <c r="C221" s="16" t="e">
        <f>VLOOKUP(A221,#REF!,3,FALSE)</f>
        <v>#REF!</v>
      </c>
      <c r="E221" s="15">
        <f>VLOOKUP(A221,'[1]תקציב 2012 נכון להיום'!$A$2:$E$1361,5,FALSE)</f>
        <v>20545</v>
      </c>
      <c r="F221" s="15">
        <v>36700</v>
      </c>
      <c r="G221" s="15">
        <v>32540</v>
      </c>
      <c r="H221" s="15">
        <v>33198</v>
      </c>
    </row>
    <row r="222" spans="1:8" x14ac:dyDescent="0.15">
      <c r="A222">
        <v>1349000938</v>
      </c>
      <c r="B222" t="s">
        <v>484</v>
      </c>
      <c r="C222" s="16" t="e">
        <f>VLOOKUP(A222,#REF!,3,FALSE)</f>
        <v>#REF!</v>
      </c>
      <c r="E222" s="15">
        <f>VLOOKUP(A222,'[1]תקציב 2012 נכון להיום'!$A$2:$E$1361,5,FALSE)</f>
        <v>23145</v>
      </c>
      <c r="F222" s="15">
        <v>30500</v>
      </c>
      <c r="G222" s="15">
        <v>33485</v>
      </c>
      <c r="H222" s="15">
        <v>31871</v>
      </c>
    </row>
    <row r="223" spans="1:8" x14ac:dyDescent="0.15">
      <c r="A223">
        <v>1349001934</v>
      </c>
      <c r="B223" t="s">
        <v>485</v>
      </c>
      <c r="C223" s="16" t="e">
        <f>VLOOKUP(A223,#REF!,3,FALSE)</f>
        <v>#REF!</v>
      </c>
      <c r="E223" s="15">
        <f>VLOOKUP(A223,'[1]תקציב 2012 נכון להיום'!$A$2:$E$1361,5,FALSE)</f>
        <v>0</v>
      </c>
      <c r="F223" s="15">
        <v>135000</v>
      </c>
      <c r="G223" s="15">
        <v>207795</v>
      </c>
      <c r="H223" s="15">
        <v>112500</v>
      </c>
    </row>
    <row r="224" spans="1:8" x14ac:dyDescent="0.15">
      <c r="A224">
        <v>1349001937</v>
      </c>
      <c r="B224" t="s">
        <v>486</v>
      </c>
      <c r="C224" s="16" t="e">
        <f>VLOOKUP(A224,#REF!,3,FALSE)</f>
        <v>#REF!</v>
      </c>
      <c r="E224" s="15">
        <f>VLOOKUP(A224,'[1]תקציב 2012 נכון להיום'!$A$2:$E$1361,5,FALSE)</f>
        <v>14797</v>
      </c>
      <c r="F224" s="15">
        <v>27000</v>
      </c>
      <c r="G224" s="15">
        <v>15827</v>
      </c>
      <c r="H224" s="15">
        <v>16639</v>
      </c>
    </row>
    <row r="225" spans="1:8" x14ac:dyDescent="0.15">
      <c r="A225">
        <v>1349001939</v>
      </c>
      <c r="B225" t="s">
        <v>487</v>
      </c>
      <c r="C225" s="16" t="e">
        <f>VLOOKUP(A225,#REF!,3,FALSE)</f>
        <v>#REF!</v>
      </c>
      <c r="E225" s="15">
        <f>VLOOKUP(A225,'[1]תקציב 2012 נכון להיום'!$A$2:$E$1361,5,FALSE)</f>
        <v>10731</v>
      </c>
      <c r="F225" s="15">
        <v>19600</v>
      </c>
      <c r="G225" s="15">
        <v>15989</v>
      </c>
      <c r="H225" s="15">
        <v>12398</v>
      </c>
    </row>
    <row r="226" spans="1:8" x14ac:dyDescent="0.15">
      <c r="A226">
        <v>1349002939</v>
      </c>
      <c r="B226" t="s">
        <v>488</v>
      </c>
      <c r="C226" s="16" t="e">
        <f>VLOOKUP(A226,#REF!,3,FALSE)</f>
        <v>#REF!</v>
      </c>
      <c r="E226" s="15">
        <f>VLOOKUP(A226,'[1]תקציב 2012 נכון להיום'!$A$2:$E$1361,5,FALSE)</f>
        <v>1926</v>
      </c>
      <c r="F226" s="15">
        <v>7500</v>
      </c>
      <c r="G226" s="15">
        <v>3769</v>
      </c>
      <c r="H226" s="15">
        <v>3573</v>
      </c>
    </row>
    <row r="227" spans="1:8" x14ac:dyDescent="0.15">
      <c r="C227" s="16" t="e">
        <f>VLOOKUP(A227,#REF!,3,FALSE)</f>
        <v>#REF!</v>
      </c>
    </row>
    <row r="228" spans="1:8" x14ac:dyDescent="0.15">
      <c r="A228" t="s">
        <v>489</v>
      </c>
      <c r="B228" t="s">
        <v>490</v>
      </c>
      <c r="C228" s="16" t="e">
        <f>VLOOKUP(A228,#REF!,3,FALSE)</f>
        <v>#REF!</v>
      </c>
    </row>
    <row r="229" spans="1:8" x14ac:dyDescent="0.15">
      <c r="A229">
        <v>1214200960</v>
      </c>
      <c r="B229" t="s">
        <v>491</v>
      </c>
      <c r="C229" s="16" t="e">
        <f>VLOOKUP(A229,#REF!,3,FALSE)</f>
        <v>#REF!</v>
      </c>
      <c r="E229" s="15">
        <f>VLOOKUP(A229,'[1]תקציב 2012 נכון להיום'!$A$2:$E$1361,5,FALSE)</f>
        <v>0</v>
      </c>
      <c r="F229" s="15">
        <v>100000</v>
      </c>
      <c r="G229" s="15">
        <v>0</v>
      </c>
      <c r="H229" s="15">
        <v>0</v>
      </c>
    </row>
    <row r="230" spans="1:8" x14ac:dyDescent="0.15">
      <c r="A230">
        <v>1222100910</v>
      </c>
      <c r="B230" t="s">
        <v>492</v>
      </c>
      <c r="C230" s="16" t="e">
        <f>VLOOKUP(A230,#REF!,3,FALSE)</f>
        <v>#REF!</v>
      </c>
      <c r="E230" s="15">
        <f>VLOOKUP(A230,'[1]תקציב 2012 נכון להיום'!$A$2:$E$1361,5,FALSE)</f>
        <v>0</v>
      </c>
      <c r="F230" s="15">
        <v>20000</v>
      </c>
      <c r="G230" s="15">
        <v>21487</v>
      </c>
      <c r="H230" s="15">
        <v>23636</v>
      </c>
    </row>
    <row r="231" spans="1:8" x14ac:dyDescent="0.15">
      <c r="A231">
        <v>1317100990</v>
      </c>
      <c r="B231" t="s">
        <v>493</v>
      </c>
      <c r="C231" s="16" t="e">
        <f>VLOOKUP(A231,#REF!,3,FALSE)</f>
        <v>#REF!</v>
      </c>
      <c r="E231" s="15">
        <f>VLOOKUP(A231,'[1]תקציב 2012 נכון להיום'!$A$2:$E$1361,5,FALSE)</f>
        <v>481771.51</v>
      </c>
      <c r="F231" s="15">
        <v>825636</v>
      </c>
      <c r="G231" s="15">
        <v>821056.61</v>
      </c>
      <c r="H231" s="15">
        <v>777130.16</v>
      </c>
    </row>
    <row r="232" spans="1:8" x14ac:dyDescent="0.15">
      <c r="A232">
        <v>1322000920</v>
      </c>
      <c r="B232" t="s">
        <v>494</v>
      </c>
      <c r="C232" s="16" t="e">
        <f>VLOOKUP(A232,#REF!,3,FALSE)</f>
        <v>#REF!</v>
      </c>
      <c r="E232" s="15">
        <f>VLOOKUP(A232,'[1]תקציב 2012 נכון להיום'!$A$2:$E$1361,5,FALSE)</f>
        <v>0</v>
      </c>
      <c r="F232" s="15">
        <v>1600000</v>
      </c>
      <c r="G232" s="15">
        <v>0</v>
      </c>
      <c r="H232" s="15">
        <v>0</v>
      </c>
    </row>
    <row r="233" spans="1:8" x14ac:dyDescent="0.15">
      <c r="A233">
        <v>1322000990</v>
      </c>
      <c r="B233" t="s">
        <v>495</v>
      </c>
      <c r="C233" s="16" t="e">
        <f>VLOOKUP(A233,#REF!,3,FALSE)</f>
        <v>#REF!</v>
      </c>
      <c r="E233" s="15">
        <f>VLOOKUP(A233,'[1]תקציב 2012 נכון להיום'!$A$2:$E$1361,5,FALSE)</f>
        <v>0</v>
      </c>
      <c r="F233" s="15">
        <v>120000</v>
      </c>
      <c r="G233" s="15">
        <v>0</v>
      </c>
      <c r="H233" s="15">
        <v>0</v>
      </c>
    </row>
    <row r="234" spans="1:8" x14ac:dyDescent="0.15">
      <c r="A234">
        <v>1325200920</v>
      </c>
      <c r="B234" t="s">
        <v>496</v>
      </c>
      <c r="C234" s="16" t="e">
        <f>VLOOKUP(A234,#REF!,3,FALSE)</f>
        <v>#REF!</v>
      </c>
      <c r="E234" s="15">
        <f>VLOOKUP(A234,'[1]תקציב 2012 נכון להיום'!$A$2:$E$1361,5,FALSE)</f>
        <v>234320.8</v>
      </c>
      <c r="F234" s="15">
        <v>630000</v>
      </c>
      <c r="G234" s="15">
        <v>546120</v>
      </c>
      <c r="H234" s="15">
        <v>452126</v>
      </c>
    </row>
    <row r="235" spans="1:8" x14ac:dyDescent="0.15">
      <c r="A235">
        <v>1329300920</v>
      </c>
      <c r="B235" t="s">
        <v>497</v>
      </c>
      <c r="C235" s="16" t="e">
        <f>VLOOKUP(A235,#REF!,3,FALSE)</f>
        <v>#REF!</v>
      </c>
      <c r="E235" s="15">
        <f>VLOOKUP(A235,'[1]תקציב 2012 נכון להיום'!$A$2:$E$1361,5,FALSE)</f>
        <v>66597</v>
      </c>
      <c r="F235" s="15">
        <v>120000</v>
      </c>
      <c r="G235" s="15">
        <v>127369</v>
      </c>
      <c r="H235" s="15">
        <v>131324</v>
      </c>
    </row>
    <row r="236" spans="1:8" x14ac:dyDescent="0.15">
      <c r="C236" s="16" t="e">
        <f>VLOOKUP(A236,#REF!,3,FALSE)</f>
        <v>#REF!</v>
      </c>
    </row>
    <row r="237" spans="1:8" ht="14" thickBot="1" x14ac:dyDescent="0.2">
      <c r="A237" t="s">
        <v>498</v>
      </c>
      <c r="B237" t="s">
        <v>499</v>
      </c>
      <c r="C237" s="16" t="e">
        <f>VLOOKUP(A237,#REF!,3,FALSE)</f>
        <v>#REF!</v>
      </c>
    </row>
    <row r="238" spans="1:8" x14ac:dyDescent="0.15">
      <c r="A238">
        <v>1191000910</v>
      </c>
      <c r="B238" t="s">
        <v>500</v>
      </c>
      <c r="C238" s="16" t="e">
        <f>VLOOKUP(A238,#REF!,3,FALSE)</f>
        <v>#REF!</v>
      </c>
      <c r="D238" s="337" t="s">
        <v>1113</v>
      </c>
      <c r="E238" s="15">
        <f>VLOOKUP(A238,'[1]תקציב 2012 נכון להיום'!$A$2:$E$1361,5,FALSE)</f>
        <v>25525719.809999999</v>
      </c>
      <c r="F238" s="15">
        <v>39345334</v>
      </c>
      <c r="G238" s="15">
        <v>36132087.439999998</v>
      </c>
      <c r="H238" s="15">
        <v>28506458.280000001</v>
      </c>
    </row>
    <row r="239" spans="1:8" ht="14" thickBot="1" x14ac:dyDescent="0.2">
      <c r="A239">
        <v>1192000910</v>
      </c>
      <c r="B239" t="s">
        <v>501</v>
      </c>
      <c r="C239" s="16" t="e">
        <f>VLOOKUP(A239,#REF!,3,FALSE)</f>
        <v>#REF!</v>
      </c>
      <c r="D239" s="339"/>
      <c r="E239" s="15">
        <f>VLOOKUP(A239,'[1]תקציב 2012 נכון להיום'!$A$2:$E$1361,5,FALSE)</f>
        <v>700000</v>
      </c>
      <c r="F239" s="15">
        <v>1400000</v>
      </c>
      <c r="G239" s="15">
        <v>1303642</v>
      </c>
      <c r="H239" s="15">
        <v>394230</v>
      </c>
    </row>
    <row r="240" spans="1:8" x14ac:dyDescent="0.15">
      <c r="C240" s="16" t="e">
        <f>VLOOKUP(A240,#REF!,3,FALSE)</f>
        <v>#REF!</v>
      </c>
    </row>
    <row r="241" spans="1:8" x14ac:dyDescent="0.15">
      <c r="C241" s="16" t="e">
        <f>VLOOKUP(A241,#REF!,3,FALSE)</f>
        <v>#REF!</v>
      </c>
    </row>
    <row r="242" spans="1:8" x14ac:dyDescent="0.15">
      <c r="C242" s="16" t="e">
        <f>VLOOKUP(A242,#REF!,3,FALSE)</f>
        <v>#REF!</v>
      </c>
    </row>
    <row r="243" spans="1:8" x14ac:dyDescent="0.15">
      <c r="C243" s="16" t="e">
        <f>VLOOKUP(A243,#REF!,3,FALSE)</f>
        <v>#REF!</v>
      </c>
    </row>
    <row r="244" spans="1:8" x14ac:dyDescent="0.15">
      <c r="A244" t="s">
        <v>503</v>
      </c>
      <c r="B244" t="s">
        <v>504</v>
      </c>
      <c r="C244" s="16" t="e">
        <f>VLOOKUP(A244,#REF!,3,FALSE)</f>
        <v>#REF!</v>
      </c>
    </row>
    <row r="245" spans="1:8" x14ac:dyDescent="0.15">
      <c r="A245">
        <v>1113000290</v>
      </c>
      <c r="B245" t="s">
        <v>505</v>
      </c>
      <c r="C245" s="16" t="e">
        <f>VLOOKUP(A245,#REF!,3,FALSE)</f>
        <v>#REF!</v>
      </c>
      <c r="E245" s="15">
        <f>VLOOKUP(A245,'[1]תקציב 2012 נכון להיום'!$A$2:$E$1361,5,FALSE)</f>
        <v>9049196</v>
      </c>
      <c r="F245" s="15">
        <v>19500000</v>
      </c>
      <c r="G245" s="15">
        <v>11486234</v>
      </c>
      <c r="H245" s="15">
        <v>18755999.670000002</v>
      </c>
    </row>
    <row r="246" spans="1:8" x14ac:dyDescent="0.15">
      <c r="C246" s="16" t="e">
        <f>VLOOKUP(A246,#REF!,3,FALSE)</f>
        <v>#REF!</v>
      </c>
    </row>
    <row r="247" spans="1:8" x14ac:dyDescent="0.15">
      <c r="C247" s="16" t="e">
        <f>VLOOKUP(A247,#REF!,3,FALSE)</f>
        <v>#REF!</v>
      </c>
    </row>
    <row r="248" spans="1:8" x14ac:dyDescent="0.15">
      <c r="A248" t="s">
        <v>268</v>
      </c>
      <c r="B248" t="s">
        <v>506</v>
      </c>
      <c r="C248" s="16" t="e">
        <f>VLOOKUP(A248,#REF!,3,FALSE)</f>
        <v>#REF!</v>
      </c>
    </row>
    <row r="249" spans="1:8" x14ac:dyDescent="0.15">
      <c r="A249" t="s">
        <v>270</v>
      </c>
      <c r="B249" t="s">
        <v>507</v>
      </c>
      <c r="C249" s="16" t="e">
        <f>VLOOKUP(A249,#REF!,3,FALSE)</f>
        <v>#REF!</v>
      </c>
    </row>
    <row r="250" spans="1:8" x14ac:dyDescent="0.15">
      <c r="A250" t="s">
        <v>281</v>
      </c>
      <c r="B250" t="s">
        <v>508</v>
      </c>
      <c r="C250" s="16" t="e">
        <f>VLOOKUP(A250,#REF!,3,FALSE)</f>
        <v>#REF!</v>
      </c>
    </row>
    <row r="251" spans="1:8" x14ac:dyDescent="0.15">
      <c r="A251" t="s">
        <v>509</v>
      </c>
      <c r="B251" t="s">
        <v>510</v>
      </c>
      <c r="C251" s="16" t="e">
        <f>VLOOKUP(A251,#REF!,3,FALSE)</f>
        <v>#REF!</v>
      </c>
    </row>
    <row r="252" spans="1:8" x14ac:dyDescent="0.15">
      <c r="A252">
        <v>1611000110</v>
      </c>
      <c r="B252" t="s">
        <v>511</v>
      </c>
      <c r="C252" s="16" t="e">
        <f>VLOOKUP(A252,#REF!,3,FALSE)</f>
        <v>#REF!</v>
      </c>
      <c r="E252" s="15">
        <f>VLOOKUP(A252,'[1]תקציב 2012 נכון להיום'!$A$2:$E$1361,5,FALSE)</f>
        <v>1446687.41</v>
      </c>
      <c r="F252" s="15">
        <v>1861065</v>
      </c>
      <c r="G252" s="15">
        <v>1552909.31</v>
      </c>
      <c r="H252" s="15">
        <v>1431414.05</v>
      </c>
    </row>
    <row r="253" spans="1:8" x14ac:dyDescent="0.15">
      <c r="A253">
        <v>1611100110</v>
      </c>
      <c r="B253" t="s">
        <v>512</v>
      </c>
      <c r="C253" s="16" t="e">
        <f>VLOOKUP(A253,#REF!,3,FALSE)</f>
        <v>#REF!</v>
      </c>
      <c r="E253" s="15">
        <f>VLOOKUP(A253,'[1]תקציב 2012 נכון להיום'!$A$2:$E$1361,5,FALSE)</f>
        <v>1326160.71</v>
      </c>
      <c r="F253" s="15">
        <v>1733934</v>
      </c>
      <c r="G253" s="15">
        <v>1734066.02</v>
      </c>
      <c r="H253" s="15">
        <v>1618700.89</v>
      </c>
    </row>
    <row r="254" spans="1:8" x14ac:dyDescent="0.15">
      <c r="A254">
        <v>1612000110</v>
      </c>
      <c r="B254" t="s">
        <v>513</v>
      </c>
      <c r="C254" s="16" t="e">
        <f>VLOOKUP(A254,#REF!,3,FALSE)</f>
        <v>#REF!</v>
      </c>
      <c r="E254" s="15">
        <f>VLOOKUP(A254,'[1]תקציב 2012 נכון להיום'!$A$2:$E$1361,5,FALSE)</f>
        <v>434275.53</v>
      </c>
      <c r="F254" s="15">
        <v>560428</v>
      </c>
      <c r="G254" s="15">
        <v>542413.21</v>
      </c>
      <c r="H254" s="15">
        <v>394333.92</v>
      </c>
    </row>
    <row r="255" spans="1:8" x14ac:dyDescent="0.15">
      <c r="A255">
        <v>1613000110</v>
      </c>
      <c r="B255" t="s">
        <v>514</v>
      </c>
      <c r="C255" s="16" t="e">
        <f>VLOOKUP(A255,#REF!,3,FALSE)</f>
        <v>#REF!</v>
      </c>
      <c r="E255" s="15">
        <f>VLOOKUP(A255,'[1]תקציב 2012 נכון להיום'!$A$2:$E$1361,5,FALSE)</f>
        <v>856899.27</v>
      </c>
      <c r="F255" s="15">
        <v>1106383</v>
      </c>
      <c r="G255" s="15">
        <v>1147631.3999999999</v>
      </c>
      <c r="H255" s="15">
        <v>1106359.31</v>
      </c>
    </row>
    <row r="256" spans="1:8" x14ac:dyDescent="0.15">
      <c r="A256">
        <v>1614000110</v>
      </c>
      <c r="B256" t="s">
        <v>515</v>
      </c>
      <c r="C256" s="16" t="e">
        <f>VLOOKUP(A256,#REF!,3,FALSE)</f>
        <v>#REF!</v>
      </c>
      <c r="E256" s="15">
        <f>VLOOKUP(A256,'[1]תקציב 2012 נכון להיום'!$A$2:$E$1361,5,FALSE)</f>
        <v>344756.69</v>
      </c>
      <c r="F256" s="15">
        <v>403655</v>
      </c>
      <c r="G256" s="15">
        <v>358772.37</v>
      </c>
      <c r="H256" s="15">
        <v>345490.28</v>
      </c>
    </row>
    <row r="257" spans="1:8" x14ac:dyDescent="0.15">
      <c r="A257">
        <v>1615000110</v>
      </c>
      <c r="B257" t="s">
        <v>516</v>
      </c>
      <c r="C257" s="16" t="e">
        <f>VLOOKUP(A257,#REF!,3,FALSE)</f>
        <v>#REF!</v>
      </c>
      <c r="E257" s="15">
        <f>VLOOKUP(A257,'[1]תקציב 2012 נכון להיום'!$A$2:$E$1361,5,FALSE)</f>
        <v>531416.37</v>
      </c>
      <c r="F257" s="15">
        <v>677885</v>
      </c>
      <c r="G257" s="15">
        <v>655796.55000000005</v>
      </c>
      <c r="H257" s="15">
        <v>688721.02</v>
      </c>
    </row>
    <row r="258" spans="1:8" x14ac:dyDescent="0.15">
      <c r="A258">
        <v>1617000110</v>
      </c>
      <c r="B258" t="s">
        <v>517</v>
      </c>
      <c r="C258" s="16" t="e">
        <f>VLOOKUP(A258,#REF!,3,FALSE)</f>
        <v>#REF!</v>
      </c>
      <c r="E258" s="15">
        <f>VLOOKUP(A258,'[1]תקציב 2012 נכון להיום'!$A$2:$E$1361,5,FALSE)</f>
        <v>1054461.23</v>
      </c>
      <c r="F258" s="15">
        <v>1380692</v>
      </c>
      <c r="G258" s="15">
        <v>1056945.72</v>
      </c>
      <c r="H258" s="15">
        <v>1164229.44</v>
      </c>
    </row>
    <row r="259" spans="1:8" x14ac:dyDescent="0.15">
      <c r="A259">
        <v>1621100110</v>
      </c>
      <c r="B259" t="s">
        <v>518</v>
      </c>
      <c r="C259" s="16" t="e">
        <f>VLOOKUP(A259,#REF!,3,FALSE)</f>
        <v>#REF!</v>
      </c>
      <c r="E259" s="15">
        <f>VLOOKUP(A259,'[1]תקציב 2012 נכון להיום'!$A$2:$E$1361,5,FALSE)</f>
        <v>607831.72</v>
      </c>
      <c r="F259" s="15">
        <v>716978</v>
      </c>
      <c r="G259" s="15">
        <v>639082.74</v>
      </c>
      <c r="H259" s="15">
        <v>836236.42</v>
      </c>
    </row>
    <row r="260" spans="1:8" x14ac:dyDescent="0.15">
      <c r="A260">
        <v>1621500110</v>
      </c>
      <c r="B260" t="s">
        <v>519</v>
      </c>
      <c r="C260" s="16" t="e">
        <f>VLOOKUP(A260,#REF!,3,FALSE)</f>
        <v>#REF!</v>
      </c>
      <c r="E260" s="15">
        <f>VLOOKUP(A260,'[1]תקציב 2012 נכון להיום'!$A$2:$E$1361,5,FALSE)</f>
        <v>318381.93</v>
      </c>
      <c r="F260" s="15">
        <v>452614</v>
      </c>
      <c r="G260" s="15">
        <v>436534.62</v>
      </c>
      <c r="H260" s="15">
        <v>559663.80000000005</v>
      </c>
    </row>
    <row r="261" spans="1:8" x14ac:dyDescent="0.15">
      <c r="A261">
        <v>1623000110</v>
      </c>
      <c r="B261" t="s">
        <v>520</v>
      </c>
      <c r="C261" s="16" t="e">
        <f>VLOOKUP(A261,#REF!,3,FALSE)</f>
        <v>#REF!</v>
      </c>
      <c r="E261" s="15">
        <f>VLOOKUP(A261,'[1]תקציב 2012 נכון להיום'!$A$2:$E$1361,5,FALSE)</f>
        <v>526558.18999999994</v>
      </c>
      <c r="F261" s="15">
        <v>835125</v>
      </c>
      <c r="G261" s="15">
        <v>695465.08</v>
      </c>
      <c r="H261" s="15">
        <v>642511.02</v>
      </c>
    </row>
    <row r="262" spans="1:8" x14ac:dyDescent="0.15">
      <c r="A262">
        <v>1711000110</v>
      </c>
      <c r="B262" t="s">
        <v>521</v>
      </c>
      <c r="C262" s="16" t="e">
        <f>VLOOKUP(A262,#REF!,3,FALSE)</f>
        <v>#REF!</v>
      </c>
      <c r="E262" s="15">
        <f>VLOOKUP(A262,'[1]תקציב 2012 נכון להיום'!$A$2:$E$1361,5,FALSE)</f>
        <v>898812.7</v>
      </c>
      <c r="F262" s="15">
        <v>1175434</v>
      </c>
      <c r="G262" s="15">
        <v>1158145.06</v>
      </c>
      <c r="H262" s="15">
        <v>1101205.8400000001</v>
      </c>
    </row>
    <row r="263" spans="1:8" x14ac:dyDescent="0.15">
      <c r="A263">
        <v>1712200110</v>
      </c>
      <c r="B263" t="s">
        <v>521</v>
      </c>
      <c r="C263" s="16" t="e">
        <f>VLOOKUP(A263,#REF!,3,FALSE)</f>
        <v>#REF!</v>
      </c>
      <c r="E263" s="15">
        <f>VLOOKUP(A263,'[1]תקציב 2012 נכון להיום'!$A$2:$E$1361,5,FALSE)</f>
        <v>344236.65</v>
      </c>
      <c r="F263" s="15">
        <v>465709</v>
      </c>
      <c r="G263" s="15">
        <v>423618.19</v>
      </c>
      <c r="H263" s="15">
        <v>420269.72</v>
      </c>
    </row>
    <row r="264" spans="1:8" x14ac:dyDescent="0.15">
      <c r="A264">
        <v>1712300110</v>
      </c>
      <c r="B264" t="s">
        <v>522</v>
      </c>
      <c r="C264" s="16" t="e">
        <f>VLOOKUP(A264,#REF!,3,FALSE)</f>
        <v>#REF!</v>
      </c>
      <c r="E264" s="15">
        <f>VLOOKUP(A264,'[1]תקציב 2012 נכון להיום'!$A$2:$E$1361,5,FALSE)</f>
        <v>375108.54</v>
      </c>
      <c r="F264" s="15">
        <v>514773</v>
      </c>
      <c r="G264" s="15">
        <v>517856.84</v>
      </c>
      <c r="H264" s="15">
        <v>493139.55</v>
      </c>
    </row>
    <row r="265" spans="1:8" x14ac:dyDescent="0.15">
      <c r="A265">
        <v>1713200110</v>
      </c>
      <c r="B265" t="s">
        <v>523</v>
      </c>
      <c r="C265" s="16" t="e">
        <f>VLOOKUP(A265,#REF!,3,FALSE)</f>
        <v>#REF!</v>
      </c>
      <c r="E265" s="15">
        <f>VLOOKUP(A265,'[1]תקציב 2012 נכון להיום'!$A$2:$E$1361,5,FALSE)</f>
        <v>552676.61</v>
      </c>
      <c r="F265" s="15">
        <v>706091</v>
      </c>
      <c r="G265" s="15">
        <v>692913.15</v>
      </c>
      <c r="H265" s="15">
        <v>647758.31000000006</v>
      </c>
    </row>
    <row r="266" spans="1:8" x14ac:dyDescent="0.15">
      <c r="A266">
        <v>1714000110</v>
      </c>
      <c r="B266" t="s">
        <v>524</v>
      </c>
      <c r="C266" s="16" t="e">
        <f>VLOOKUP(A266,#REF!,3,FALSE)</f>
        <v>#REF!</v>
      </c>
      <c r="E266" s="15">
        <f>VLOOKUP(A266,'[1]תקציב 2012 נכון להיום'!$A$2:$E$1361,5,FALSE)</f>
        <v>553494.57999999996</v>
      </c>
      <c r="F266" s="15">
        <v>851918</v>
      </c>
      <c r="G266" s="15">
        <v>675386.83</v>
      </c>
      <c r="H266" s="15">
        <v>534582.82999999996</v>
      </c>
    </row>
    <row r="267" spans="1:8" x14ac:dyDescent="0.15">
      <c r="A267">
        <v>1715200110</v>
      </c>
      <c r="B267" t="s">
        <v>523</v>
      </c>
      <c r="C267" s="16" t="e">
        <f>VLOOKUP(A267,#REF!,3,FALSE)</f>
        <v>#REF!</v>
      </c>
      <c r="E267" s="15">
        <f>VLOOKUP(A267,'[1]תקציב 2012 נכון להיום'!$A$2:$E$1361,5,FALSE)</f>
        <v>193133.83</v>
      </c>
      <c r="F267" s="15">
        <v>243556</v>
      </c>
      <c r="G267" s="15">
        <v>240946.06</v>
      </c>
      <c r="H267" s="15">
        <v>228679.04000000001</v>
      </c>
    </row>
    <row r="268" spans="1:8" x14ac:dyDescent="0.15">
      <c r="A268">
        <v>1721000110</v>
      </c>
      <c r="B268" t="s">
        <v>525</v>
      </c>
      <c r="C268" s="16" t="e">
        <f>VLOOKUP(A268,#REF!,3,FALSE)</f>
        <v>#REF!</v>
      </c>
      <c r="E268" s="15">
        <f>VLOOKUP(A268,'[1]תקציב 2012 נכון להיום'!$A$2:$E$1361,5,FALSE)</f>
        <v>245353.11</v>
      </c>
      <c r="F268" s="15">
        <v>272854</v>
      </c>
      <c r="G268" s="15">
        <v>245492.97</v>
      </c>
      <c r="H268" s="15">
        <v>254020.59</v>
      </c>
    </row>
    <row r="269" spans="1:8" x14ac:dyDescent="0.15">
      <c r="A269">
        <v>1722000110</v>
      </c>
      <c r="B269" t="s">
        <v>523</v>
      </c>
      <c r="C269" s="16" t="e">
        <f>VLOOKUP(A269,#REF!,3,FALSE)</f>
        <v>#REF!</v>
      </c>
      <c r="E269" s="15">
        <f>VLOOKUP(A269,'[1]תקציב 2012 נכון להיום'!$A$2:$E$1361,5,FALSE)</f>
        <v>108531.15</v>
      </c>
      <c r="F269" s="15">
        <v>149175</v>
      </c>
      <c r="G269" s="15">
        <v>282324.73</v>
      </c>
      <c r="H269" s="15">
        <v>332310.11</v>
      </c>
    </row>
    <row r="270" spans="1:8" x14ac:dyDescent="0.15">
      <c r="A270">
        <v>1722000210</v>
      </c>
      <c r="B270" t="s">
        <v>526</v>
      </c>
      <c r="C270" s="16" t="e">
        <f>VLOOKUP(A270,#REF!,3,FALSE)</f>
        <v>#REF!</v>
      </c>
      <c r="E270" s="15">
        <f>VLOOKUP(A270,'[1]תקציב 2012 נכון להיום'!$A$2:$E$1361,5,FALSE)</f>
        <v>219282.29</v>
      </c>
      <c r="F270" s="15">
        <v>350000</v>
      </c>
      <c r="G270" s="15">
        <v>0</v>
      </c>
      <c r="H270" s="15">
        <v>0</v>
      </c>
    </row>
    <row r="271" spans="1:8" x14ac:dyDescent="0.15">
      <c r="A271">
        <v>1723000110</v>
      </c>
      <c r="B271" t="s">
        <v>527</v>
      </c>
      <c r="C271" s="16" t="e">
        <f>VLOOKUP(A271,#REF!,3,FALSE)</f>
        <v>#REF!</v>
      </c>
      <c r="E271" s="15">
        <f>VLOOKUP(A271,'[1]תקציב 2012 נכון להיום'!$A$2:$E$1361,5,FALSE)</f>
        <v>173515.57</v>
      </c>
      <c r="F271" s="15">
        <v>211876</v>
      </c>
      <c r="G271" s="15">
        <v>220059.72</v>
      </c>
      <c r="H271" s="15">
        <v>64485.82</v>
      </c>
    </row>
    <row r="272" spans="1:8" x14ac:dyDescent="0.15">
      <c r="A272">
        <v>1726100110</v>
      </c>
      <c r="B272" t="s">
        <v>523</v>
      </c>
      <c r="C272" s="16" t="e">
        <f>VLOOKUP(A272,#REF!,3,FALSE)</f>
        <v>#REF!</v>
      </c>
      <c r="E272" s="15">
        <f>VLOOKUP(A272,'[1]תקציב 2012 נכון להיום'!$A$2:$E$1361,5,FALSE)</f>
        <v>143671.32999999999</v>
      </c>
      <c r="F272" s="15">
        <v>184837</v>
      </c>
      <c r="G272" s="15">
        <v>182833.74</v>
      </c>
      <c r="H272" s="15">
        <v>173085.32</v>
      </c>
    </row>
    <row r="273" spans="1:8" x14ac:dyDescent="0.15">
      <c r="A273">
        <v>1731000110</v>
      </c>
      <c r="B273" t="s">
        <v>528</v>
      </c>
      <c r="C273" s="16" t="e">
        <f>VLOOKUP(A273,#REF!,3,FALSE)</f>
        <v>#REF!</v>
      </c>
      <c r="E273" s="15">
        <f>VLOOKUP(A273,'[1]תקציב 2012 נכון להיום'!$A$2:$E$1361,5,FALSE)</f>
        <v>1276038.01</v>
      </c>
      <c r="F273" s="15">
        <v>1752674</v>
      </c>
      <c r="G273" s="15">
        <v>1423927</v>
      </c>
      <c r="H273" s="15">
        <v>1333526.95</v>
      </c>
    </row>
    <row r="274" spans="1:8" x14ac:dyDescent="0.15">
      <c r="A274">
        <v>1732000110</v>
      </c>
      <c r="B274" t="s">
        <v>528</v>
      </c>
      <c r="C274" s="16" t="e">
        <f>VLOOKUP(A274,#REF!,3,FALSE)</f>
        <v>#REF!</v>
      </c>
      <c r="E274" s="15">
        <f>VLOOKUP(A274,'[1]תקציב 2012 נכון להיום'!$A$2:$E$1361,5,FALSE)</f>
        <v>172700.42</v>
      </c>
      <c r="F274" s="15">
        <v>232169</v>
      </c>
      <c r="G274" s="15">
        <v>226657.39</v>
      </c>
      <c r="H274" s="15">
        <v>224807.71</v>
      </c>
    </row>
    <row r="275" spans="1:8" x14ac:dyDescent="0.15">
      <c r="A275">
        <v>1733100110</v>
      </c>
      <c r="B275" t="s">
        <v>529</v>
      </c>
      <c r="C275" s="16" t="e">
        <f>VLOOKUP(A275,#REF!,3,FALSE)</f>
        <v>#REF!</v>
      </c>
      <c r="E275" s="15">
        <f>VLOOKUP(A275,'[1]תקציב 2012 נכון להיום'!$A$2:$E$1361,5,FALSE)</f>
        <v>919798.82</v>
      </c>
      <c r="F275" s="15">
        <v>1106358</v>
      </c>
      <c r="G275" s="15">
        <v>1038517.94</v>
      </c>
      <c r="H275" s="15">
        <v>1007300.76</v>
      </c>
    </row>
    <row r="276" spans="1:8" x14ac:dyDescent="0.15">
      <c r="A276">
        <v>1743000110</v>
      </c>
      <c r="B276" t="s">
        <v>523</v>
      </c>
      <c r="C276" s="16" t="e">
        <f>VLOOKUP(A276,#REF!,3,FALSE)</f>
        <v>#REF!</v>
      </c>
      <c r="E276" s="15">
        <f>VLOOKUP(A276,'[1]תקציב 2012 נכון להיום'!$A$2:$E$1361,5,FALSE)</f>
        <v>782413.96</v>
      </c>
      <c r="F276" s="15">
        <v>984571</v>
      </c>
      <c r="G276" s="15">
        <v>969986.4</v>
      </c>
      <c r="H276" s="15">
        <v>889575.47</v>
      </c>
    </row>
    <row r="277" spans="1:8" x14ac:dyDescent="0.15">
      <c r="A277">
        <v>1746000110</v>
      </c>
      <c r="B277" t="s">
        <v>523</v>
      </c>
      <c r="C277" s="16" t="e">
        <f>VLOOKUP(A277,#REF!,3,FALSE)</f>
        <v>#REF!</v>
      </c>
      <c r="E277" s="15">
        <f>VLOOKUP(A277,'[1]תקציב 2012 נכון להיום'!$A$2:$E$1361,5,FALSE)</f>
        <v>399887.84</v>
      </c>
      <c r="F277" s="15">
        <v>540090</v>
      </c>
      <c r="G277" s="15">
        <v>526957.11</v>
      </c>
      <c r="H277" s="15">
        <v>497316.29</v>
      </c>
    </row>
    <row r="278" spans="1:8" x14ac:dyDescent="0.15">
      <c r="A278">
        <v>1746100110</v>
      </c>
      <c r="B278" t="s">
        <v>530</v>
      </c>
      <c r="C278" s="16" t="e">
        <f>VLOOKUP(A278,#REF!,3,FALSE)</f>
        <v>#REF!</v>
      </c>
      <c r="E278" s="15">
        <f>VLOOKUP(A278,'[1]תקציב 2012 נכון להיום'!$A$2:$E$1361,5,FALSE)</f>
        <v>1343853.71</v>
      </c>
      <c r="F278" s="15">
        <v>1729111</v>
      </c>
      <c r="G278" s="15">
        <v>1588924.26</v>
      </c>
      <c r="H278" s="15">
        <v>1481499.94</v>
      </c>
    </row>
    <row r="279" spans="1:8" x14ac:dyDescent="0.15">
      <c r="A279">
        <v>1747200110</v>
      </c>
      <c r="B279" t="s">
        <v>531</v>
      </c>
      <c r="C279" s="16" t="e">
        <f>VLOOKUP(A279,#REF!,3,FALSE)</f>
        <v>#REF!</v>
      </c>
      <c r="E279" s="15">
        <f>VLOOKUP(A279,'[1]תקציב 2012 נכון להיום'!$A$2:$E$1361,5,FALSE)</f>
        <v>166427.54</v>
      </c>
      <c r="F279" s="15">
        <v>183404</v>
      </c>
      <c r="G279" s="15">
        <v>174042.98</v>
      </c>
      <c r="H279" s="15">
        <v>191931.26</v>
      </c>
    </row>
    <row r="280" spans="1:8" x14ac:dyDescent="0.15">
      <c r="A280">
        <v>1749000110</v>
      </c>
      <c r="B280" t="s">
        <v>523</v>
      </c>
      <c r="C280" s="16" t="e">
        <f>VLOOKUP(A280,#REF!,3,FALSE)</f>
        <v>#REF!</v>
      </c>
      <c r="E280" s="15">
        <f>VLOOKUP(A280,'[1]תקציב 2012 נכון להיום'!$A$2:$E$1361,5,FALSE)</f>
        <v>973422.63</v>
      </c>
      <c r="F280" s="15">
        <v>1222577</v>
      </c>
      <c r="G280" s="15">
        <v>1207021.73</v>
      </c>
      <c r="H280" s="15">
        <v>1152440.8600000001</v>
      </c>
    </row>
    <row r="281" spans="1:8" x14ac:dyDescent="0.15">
      <c r="A281">
        <v>1761000110</v>
      </c>
      <c r="B281" t="s">
        <v>532</v>
      </c>
      <c r="C281" s="16" t="e">
        <f>VLOOKUP(A281,#REF!,3,FALSE)</f>
        <v>#REF!</v>
      </c>
      <c r="E281" s="15">
        <f>VLOOKUP(A281,'[1]תקציב 2012 נכון להיום'!$A$2:$E$1361,5,FALSE)</f>
        <v>180692.08</v>
      </c>
      <c r="F281" s="15">
        <v>232868</v>
      </c>
      <c r="G281" s="15">
        <v>466334.85</v>
      </c>
      <c r="H281" s="15">
        <v>552271.46</v>
      </c>
    </row>
    <row r="282" spans="1:8" x14ac:dyDescent="0.15">
      <c r="A282">
        <v>1764000110</v>
      </c>
      <c r="B282" t="s">
        <v>523</v>
      </c>
      <c r="C282" s="16" t="e">
        <f>VLOOKUP(A282,#REF!,3,FALSE)</f>
        <v>#REF!</v>
      </c>
      <c r="E282" s="15">
        <f>VLOOKUP(A282,'[1]תקציב 2012 נכון להיום'!$A$2:$E$1361,5,FALSE)</f>
        <v>332305.52</v>
      </c>
      <c r="F282" s="15">
        <v>568958</v>
      </c>
      <c r="G282" s="15">
        <v>549627.82999999996</v>
      </c>
      <c r="H282" s="15">
        <v>502552.67</v>
      </c>
    </row>
    <row r="283" spans="1:8" x14ac:dyDescent="0.15">
      <c r="A283">
        <v>1781000110</v>
      </c>
      <c r="B283" t="s">
        <v>523</v>
      </c>
      <c r="C283" s="16" t="e">
        <f>VLOOKUP(A283,#REF!,3,FALSE)</f>
        <v>#REF!</v>
      </c>
      <c r="E283" s="15">
        <f>VLOOKUP(A283,'[1]תקציב 2012 נכון להיום'!$A$2:$E$1361,5,FALSE)</f>
        <v>1267287.3899999999</v>
      </c>
      <c r="F283" s="15">
        <v>1590088</v>
      </c>
      <c r="G283" s="15">
        <v>1304130.21</v>
      </c>
      <c r="H283" s="15">
        <v>1028949.61</v>
      </c>
    </row>
    <row r="284" spans="1:8" x14ac:dyDescent="0.15">
      <c r="A284">
        <v>1781000210</v>
      </c>
      <c r="B284" t="s">
        <v>533</v>
      </c>
      <c r="C284" s="16" t="e">
        <f>VLOOKUP(A284,#REF!,3,FALSE)</f>
        <v>#REF!</v>
      </c>
      <c r="E284" s="15">
        <f>VLOOKUP(A284,'[1]תקציב 2012 נכון להיום'!$A$2:$E$1361,5,FALSE)</f>
        <v>15538.82</v>
      </c>
      <c r="F284" s="15">
        <v>229233</v>
      </c>
      <c r="G284" s="15">
        <v>382947.13</v>
      </c>
      <c r="H284" s="15">
        <v>0</v>
      </c>
    </row>
    <row r="285" spans="1:8" x14ac:dyDescent="0.15">
      <c r="A285">
        <v>1781100110</v>
      </c>
      <c r="B285" t="s">
        <v>534</v>
      </c>
      <c r="C285" s="16" t="e">
        <f>VLOOKUP(A285,#REF!,3,FALSE)</f>
        <v>#REF!</v>
      </c>
      <c r="E285" s="15">
        <f>VLOOKUP(A285,'[1]תקציב 2012 נכון להיום'!$A$2:$E$1361,5,FALSE)</f>
        <v>639625.97</v>
      </c>
      <c r="F285" s="15">
        <v>728997</v>
      </c>
      <c r="G285" s="15">
        <v>801813.76</v>
      </c>
      <c r="H285" s="15">
        <v>893424.86</v>
      </c>
    </row>
    <row r="286" spans="1:8" x14ac:dyDescent="0.15">
      <c r="A286">
        <v>1811000110</v>
      </c>
      <c r="B286" t="s">
        <v>523</v>
      </c>
      <c r="C286" s="16" t="e">
        <f>VLOOKUP(A286,#REF!,3,FALSE)</f>
        <v>#REF!</v>
      </c>
      <c r="E286" s="15">
        <f>VLOOKUP(A286,'[1]תקציב 2012 נכון להיום'!$A$2:$E$1361,5,FALSE)</f>
        <v>1447348.58</v>
      </c>
      <c r="F286" s="15">
        <v>1775226</v>
      </c>
      <c r="G286" s="15">
        <v>1664277.37</v>
      </c>
      <c r="H286" s="15">
        <v>1594840.06</v>
      </c>
    </row>
    <row r="287" spans="1:8" x14ac:dyDescent="0.15">
      <c r="A287">
        <v>1823000110</v>
      </c>
      <c r="B287" t="s">
        <v>523</v>
      </c>
      <c r="C287" s="16" t="e">
        <f>VLOOKUP(A287,#REF!,3,FALSE)</f>
        <v>#REF!</v>
      </c>
      <c r="E287" s="15">
        <f>VLOOKUP(A287,'[1]תקציב 2012 נכון להיום'!$A$2:$E$1361,5,FALSE)</f>
        <v>547235.62</v>
      </c>
      <c r="F287" s="15">
        <v>631403</v>
      </c>
      <c r="G287" s="15">
        <v>622720.02</v>
      </c>
      <c r="H287" s="15">
        <v>589052.46</v>
      </c>
    </row>
    <row r="288" spans="1:8" x14ac:dyDescent="0.15">
      <c r="A288">
        <v>1825200110</v>
      </c>
      <c r="B288" t="s">
        <v>523</v>
      </c>
      <c r="C288" s="16" t="e">
        <f>VLOOKUP(A288,#REF!,3,FALSE)</f>
        <v>#REF!</v>
      </c>
      <c r="E288" s="15">
        <f>VLOOKUP(A288,'[1]תקציב 2012 נכון להיום'!$A$2:$E$1361,5,FALSE)</f>
        <v>1625008.02</v>
      </c>
      <c r="F288" s="15">
        <v>2108408</v>
      </c>
      <c r="G288" s="15">
        <v>1986420.31</v>
      </c>
      <c r="H288" s="15">
        <v>1921372.46</v>
      </c>
    </row>
    <row r="289" spans="1:8" x14ac:dyDescent="0.15">
      <c r="A289">
        <v>1825200210</v>
      </c>
      <c r="B289" t="s">
        <v>535</v>
      </c>
      <c r="C289" s="16" t="e">
        <f>VLOOKUP(A289,#REF!,3,FALSE)</f>
        <v>#REF!</v>
      </c>
      <c r="E289" s="15">
        <f>VLOOKUP(A289,'[1]תקציב 2012 נכון להיום'!$A$2:$E$1361,5,FALSE)</f>
        <v>860760.7</v>
      </c>
      <c r="F289" s="15">
        <v>991592</v>
      </c>
      <c r="G289" s="15">
        <v>1184201.07</v>
      </c>
      <c r="H289" s="15">
        <v>1188643.52</v>
      </c>
    </row>
    <row r="290" spans="1:8" x14ac:dyDescent="0.15">
      <c r="A290">
        <v>1829300110</v>
      </c>
      <c r="B290" t="s">
        <v>536</v>
      </c>
      <c r="C290" s="16" t="e">
        <f>VLOOKUP(A290,#REF!,3,FALSE)</f>
        <v>#REF!</v>
      </c>
      <c r="E290" s="15">
        <f>VLOOKUP(A290,'[1]תקציב 2012 נכון להיום'!$A$2:$E$1361,5,FALSE)</f>
        <v>168027.54</v>
      </c>
      <c r="F290" s="15">
        <v>228629</v>
      </c>
      <c r="G290" s="15">
        <v>208548.68</v>
      </c>
      <c r="H290" s="15">
        <v>226628.11</v>
      </c>
    </row>
    <row r="291" spans="1:8" x14ac:dyDescent="0.15">
      <c r="A291">
        <v>1829900110</v>
      </c>
      <c r="B291" t="s">
        <v>537</v>
      </c>
      <c r="C291" s="16" t="e">
        <f>VLOOKUP(A291,#REF!,3,FALSE)</f>
        <v>#REF!</v>
      </c>
      <c r="E291" s="15">
        <f>VLOOKUP(A291,'[1]תקציב 2012 נכון להיום'!$A$2:$E$1361,5,FALSE)</f>
        <v>358937.85</v>
      </c>
      <c r="F291" s="15">
        <v>491918</v>
      </c>
      <c r="G291" s="15">
        <v>413449.62</v>
      </c>
      <c r="H291" s="15">
        <v>230269.52</v>
      </c>
    </row>
    <row r="292" spans="1:8" x14ac:dyDescent="0.15">
      <c r="A292">
        <v>1869000110</v>
      </c>
      <c r="B292" t="s">
        <v>538</v>
      </c>
      <c r="C292" s="16" t="e">
        <f>VLOOKUP(A292,#REF!,3,FALSE)</f>
        <v>#REF!</v>
      </c>
      <c r="E292" s="15">
        <f>VLOOKUP(A292,'[1]תקציב 2012 נכון להיום'!$A$2:$E$1361,5,FALSE)</f>
        <v>257514.37</v>
      </c>
      <c r="F292" s="15">
        <v>295472</v>
      </c>
      <c r="G292" s="15">
        <v>292471.40000000002</v>
      </c>
      <c r="H292" s="15">
        <v>170452.87</v>
      </c>
    </row>
    <row r="293" spans="1:8" x14ac:dyDescent="0.15">
      <c r="A293">
        <v>1931000110</v>
      </c>
      <c r="B293" t="s">
        <v>523</v>
      </c>
      <c r="C293" s="16" t="e">
        <f>VLOOKUP(A293,#REF!,3,FALSE)</f>
        <v>#REF!</v>
      </c>
      <c r="E293" s="15">
        <f>VLOOKUP(A293,'[1]תקציב 2012 נכון להיום'!$A$2:$E$1361,5,FALSE)</f>
        <v>149531.48000000001</v>
      </c>
      <c r="F293" s="15">
        <v>207134</v>
      </c>
      <c r="G293" s="15">
        <v>201141.85</v>
      </c>
      <c r="H293" s="15">
        <v>197878.05</v>
      </c>
    </row>
    <row r="294" spans="1:8" x14ac:dyDescent="0.15">
      <c r="A294">
        <v>1937000110</v>
      </c>
      <c r="B294" t="s">
        <v>523</v>
      </c>
      <c r="C294" s="16" t="e">
        <f>VLOOKUP(A294,#REF!,3,FALSE)</f>
        <v>#REF!</v>
      </c>
      <c r="E294" s="15">
        <f>VLOOKUP(A294,'[1]תקציב 2012 נכון להיום'!$A$2:$E$1361,5,FALSE)</f>
        <v>107933.03</v>
      </c>
      <c r="F294" s="15">
        <v>140579</v>
      </c>
      <c r="G294" s="15">
        <v>137891.66</v>
      </c>
      <c r="H294" s="15">
        <v>135355.17000000001</v>
      </c>
    </row>
    <row r="295" spans="1:8" x14ac:dyDescent="0.15">
      <c r="A295">
        <v>1938000110</v>
      </c>
      <c r="B295" t="s">
        <v>523</v>
      </c>
      <c r="C295" s="16" t="e">
        <f>VLOOKUP(A295,#REF!,3,FALSE)</f>
        <v>#REF!</v>
      </c>
      <c r="E295" s="15">
        <f>VLOOKUP(A295,'[1]תקציב 2012 נכון להיום'!$A$2:$E$1361,5,FALSE)</f>
        <v>545835.93999999994</v>
      </c>
      <c r="F295" s="15">
        <v>676178</v>
      </c>
      <c r="G295" s="15">
        <v>671400.63</v>
      </c>
      <c r="H295" s="15">
        <v>621506.87</v>
      </c>
    </row>
    <row r="296" spans="1:8" x14ac:dyDescent="0.15">
      <c r="A296">
        <v>1938100110</v>
      </c>
      <c r="B296" t="s">
        <v>523</v>
      </c>
      <c r="C296" s="16" t="e">
        <f>VLOOKUP(A296,#REF!,3,FALSE)</f>
        <v>#REF!</v>
      </c>
      <c r="E296" s="15">
        <f>VLOOKUP(A296,'[1]תקציב 2012 נכון להיום'!$A$2:$E$1361,5,FALSE)</f>
        <v>473972.75</v>
      </c>
      <c r="F296" s="15">
        <v>568731</v>
      </c>
      <c r="G296" s="15">
        <v>496731.03</v>
      </c>
      <c r="H296" s="15">
        <v>557090.34</v>
      </c>
    </row>
    <row r="297" spans="1:8" x14ac:dyDescent="0.15">
      <c r="A297">
        <v>1939000110</v>
      </c>
      <c r="B297" t="s">
        <v>523</v>
      </c>
      <c r="C297" s="16" t="e">
        <f>VLOOKUP(A297,#REF!,3,FALSE)</f>
        <v>#REF!</v>
      </c>
      <c r="E297" s="15">
        <f>VLOOKUP(A297,'[1]תקציב 2012 נכון להיום'!$A$2:$E$1361,5,FALSE)</f>
        <v>1630608.16</v>
      </c>
      <c r="F297" s="15">
        <v>2201960</v>
      </c>
      <c r="G297" s="15">
        <v>2067044.91</v>
      </c>
      <c r="H297" s="15">
        <v>2142027.9700000002</v>
      </c>
    </row>
    <row r="298" spans="1:8" x14ac:dyDescent="0.15">
      <c r="A298">
        <v>1980000310</v>
      </c>
      <c r="B298" t="s">
        <v>539</v>
      </c>
      <c r="C298" s="16" t="e">
        <f>VLOOKUP(A298,#REF!,3,FALSE)</f>
        <v>#REF!</v>
      </c>
      <c r="E298" s="15">
        <f>VLOOKUP(A298,'[1]תקציב 2012 נכון להיום'!$A$2:$E$1361,5,FALSE)</f>
        <v>12423</v>
      </c>
      <c r="F298" s="15">
        <v>20000</v>
      </c>
      <c r="G298" s="15">
        <v>30951</v>
      </c>
      <c r="H298" s="15">
        <v>16871.75</v>
      </c>
    </row>
    <row r="299" spans="1:8" x14ac:dyDescent="0.15">
      <c r="A299">
        <v>1980000312</v>
      </c>
      <c r="B299" t="s">
        <v>540</v>
      </c>
      <c r="C299" s="16" t="e">
        <f>VLOOKUP(A299,#REF!,3,FALSE)</f>
        <v>#REF!</v>
      </c>
      <c r="E299" s="15">
        <f>VLOOKUP(A299,'[1]תקציב 2012 נכון להיום'!$A$2:$E$1361,5,FALSE)</f>
        <v>58962.95</v>
      </c>
      <c r="F299" s="15">
        <v>50000</v>
      </c>
      <c r="G299" s="15">
        <v>49338.85</v>
      </c>
      <c r="H299" s="15">
        <v>33641.15</v>
      </c>
    </row>
    <row r="300" spans="1:8" x14ac:dyDescent="0.15">
      <c r="A300">
        <v>1991000310</v>
      </c>
      <c r="B300" t="s">
        <v>539</v>
      </c>
      <c r="C300" s="16" t="e">
        <f>VLOOKUP(A300,#REF!,3,FALSE)</f>
        <v>#REF!</v>
      </c>
      <c r="E300" s="15">
        <f>VLOOKUP(A300,'[1]תקציב 2012 נכון להיום'!$A$2:$E$1361,5,FALSE)</f>
        <v>22045303.510000002</v>
      </c>
      <c r="F300" s="15">
        <v>28987746</v>
      </c>
      <c r="G300" s="15">
        <v>28612548.809999999</v>
      </c>
      <c r="H300" s="15">
        <v>27459582.93</v>
      </c>
    </row>
    <row r="301" spans="1:8" x14ac:dyDescent="0.15">
      <c r="A301">
        <v>1991000320</v>
      </c>
      <c r="B301" t="s">
        <v>541</v>
      </c>
      <c r="C301" s="16" t="e">
        <f>VLOOKUP(A301,#REF!,3,FALSE)</f>
        <v>#REF!</v>
      </c>
      <c r="E301" s="15">
        <f>VLOOKUP(A301,'[1]תקציב 2012 נכון להיום'!$A$2:$E$1361,5,FALSE)</f>
        <v>1234044.19</v>
      </c>
      <c r="F301" s="15">
        <v>690000</v>
      </c>
      <c r="G301" s="15">
        <v>1299098.82</v>
      </c>
      <c r="H301" s="15">
        <v>881945.48</v>
      </c>
    </row>
    <row r="302" spans="1:8" x14ac:dyDescent="0.15">
      <c r="C302" s="16" t="e">
        <f>VLOOKUP(A302,#REF!,3,FALSE)</f>
        <v>#REF!</v>
      </c>
      <c r="E302" s="15" t="e">
        <f>VLOOKUP(A302,'[1]תקציב 2012 נכון להיום'!$A$2:$E$1361,5,FALSE)</f>
        <v>#N/A</v>
      </c>
    </row>
    <row r="303" spans="1:8" x14ac:dyDescent="0.15">
      <c r="A303" t="s">
        <v>542</v>
      </c>
      <c r="B303" s="56" t="s">
        <v>543</v>
      </c>
      <c r="C303" s="16" t="e">
        <f>VLOOKUP(A303,#REF!,3,FALSE)</f>
        <v>#REF!</v>
      </c>
      <c r="E303" s="15" t="e">
        <f>VLOOKUP(A303,'[1]תקציב 2012 נכון להיום'!$A$2:$E$1361,5,FALSE)</f>
        <v>#N/A</v>
      </c>
    </row>
    <row r="304" spans="1:8" x14ac:dyDescent="0.15">
      <c r="A304">
        <v>1611000511</v>
      </c>
      <c r="B304" t="s">
        <v>544</v>
      </c>
      <c r="C304" s="16" t="e">
        <f>VLOOKUP(A304,#REF!,3,FALSE)</f>
        <v>#REF!</v>
      </c>
      <c r="E304" s="15">
        <f>VLOOKUP(A304,'[1]תקציב 2012 נכון להיום'!$A$2:$E$1361,5,FALSE)</f>
        <v>34005.519999999997</v>
      </c>
      <c r="F304" s="15">
        <v>50000</v>
      </c>
      <c r="G304" s="15">
        <v>40913.46</v>
      </c>
      <c r="H304" s="15">
        <v>31935.38</v>
      </c>
    </row>
    <row r="305" spans="1:8" x14ac:dyDescent="0.15">
      <c r="A305">
        <v>1611000512</v>
      </c>
      <c r="B305" t="s">
        <v>545</v>
      </c>
      <c r="C305" s="16" t="e">
        <f>VLOOKUP(A305,#REF!,3,FALSE)</f>
        <v>#REF!</v>
      </c>
      <c r="E305" s="15">
        <f>VLOOKUP(A305,'[1]תקציב 2012 נכון להיום'!$A$2:$E$1361,5,FALSE)</f>
        <v>3256</v>
      </c>
      <c r="F305" s="15">
        <v>5000</v>
      </c>
      <c r="G305" s="15">
        <v>1844</v>
      </c>
      <c r="H305" s="15">
        <v>2415</v>
      </c>
    </row>
    <row r="306" spans="1:8" x14ac:dyDescent="0.15">
      <c r="A306">
        <v>1611000514</v>
      </c>
      <c r="B306" t="s">
        <v>546</v>
      </c>
      <c r="C306" s="16" t="e">
        <f>VLOOKUP(A306,#REF!,3,FALSE)</f>
        <v>#REF!</v>
      </c>
      <c r="E306" s="15">
        <f>VLOOKUP(A306,'[1]תקציב 2012 נכון להיום'!$A$2:$E$1361,5,FALSE)</f>
        <v>2074</v>
      </c>
      <c r="F306" s="15">
        <v>7000</v>
      </c>
      <c r="G306" s="15">
        <v>5649.99</v>
      </c>
      <c r="H306" s="15">
        <v>6397</v>
      </c>
    </row>
    <row r="307" spans="1:8" x14ac:dyDescent="0.15">
      <c r="A307">
        <v>1611000521</v>
      </c>
      <c r="B307" t="s">
        <v>547</v>
      </c>
      <c r="C307" s="16" t="e">
        <f>VLOOKUP(A307,#REF!,3,FALSE)</f>
        <v>#REF!</v>
      </c>
      <c r="E307" s="15">
        <f>VLOOKUP(A307,'[1]תקציב 2012 נכון להיום'!$A$2:$E$1361,5,FALSE)</f>
        <v>33903.4</v>
      </c>
      <c r="F307" s="15">
        <v>34047.4</v>
      </c>
      <c r="G307" s="15">
        <v>14586</v>
      </c>
      <c r="H307" s="15">
        <v>9950</v>
      </c>
    </row>
    <row r="308" spans="1:8" x14ac:dyDescent="0.15">
      <c r="A308">
        <v>1611000522</v>
      </c>
      <c r="B308" t="s">
        <v>548</v>
      </c>
      <c r="C308" s="16" t="e">
        <f>VLOOKUP(A308,#REF!,3,FALSE)</f>
        <v>#REF!</v>
      </c>
      <c r="E308" s="15">
        <f>VLOOKUP(A308,'[1]תקציב 2012 נכון להיום'!$A$2:$E$1361,5,FALSE)</f>
        <v>22667.52</v>
      </c>
      <c r="F308" s="15">
        <v>27357.52</v>
      </c>
      <c r="G308" s="15">
        <v>25007.97</v>
      </c>
      <c r="H308" s="15">
        <v>23499.9</v>
      </c>
    </row>
    <row r="309" spans="1:8" x14ac:dyDescent="0.15">
      <c r="A309">
        <v>1611000523</v>
      </c>
      <c r="B309" t="s">
        <v>549</v>
      </c>
      <c r="C309" s="16" t="e">
        <f>VLOOKUP(A309,#REF!,3,FALSE)</f>
        <v>#REF!</v>
      </c>
      <c r="E309" s="15">
        <f>VLOOKUP(A309,'[1]תקציב 2012 נכון להיום'!$A$2:$E$1361,5,FALSE)</f>
        <v>1000</v>
      </c>
      <c r="F309" s="15">
        <v>1000</v>
      </c>
      <c r="G309" s="15">
        <v>2999.99</v>
      </c>
      <c r="H309" s="15">
        <v>2732</v>
      </c>
    </row>
    <row r="310" spans="1:8" x14ac:dyDescent="0.15">
      <c r="A310">
        <v>1611000560</v>
      </c>
      <c r="B310" t="s">
        <v>550</v>
      </c>
      <c r="C310" s="16" t="e">
        <f>VLOOKUP(A310,#REF!,3,FALSE)</f>
        <v>#REF!</v>
      </c>
      <c r="E310" s="15">
        <f>VLOOKUP(A310,'[1]תקציב 2012 נכון להיום'!$A$2:$E$1361,5,FALSE)</f>
        <v>9770.43</v>
      </c>
      <c r="F310" s="15">
        <v>15000</v>
      </c>
      <c r="G310" s="15">
        <v>11604.4</v>
      </c>
      <c r="H310" s="15">
        <v>11043.44</v>
      </c>
    </row>
    <row r="311" spans="1:8" x14ac:dyDescent="0.15">
      <c r="A311">
        <v>1611000580</v>
      </c>
      <c r="B311" t="s">
        <v>551</v>
      </c>
      <c r="C311" s="16" t="e">
        <f>VLOOKUP(A311,#REF!,3,FALSE)</f>
        <v>#REF!</v>
      </c>
      <c r="E311" s="15">
        <f>VLOOKUP(A311,'[1]תקציב 2012 נכון להיום'!$A$2:$E$1361,5,FALSE)</f>
        <v>20057.38</v>
      </c>
      <c r="F311" s="15">
        <v>17000</v>
      </c>
      <c r="G311" s="15">
        <v>17285.95</v>
      </c>
      <c r="H311" s="15">
        <v>13060.13</v>
      </c>
    </row>
    <row r="312" spans="1:8" x14ac:dyDescent="0.15">
      <c r="A312">
        <v>1611000760</v>
      </c>
      <c r="B312" t="s">
        <v>552</v>
      </c>
      <c r="C312" s="16" t="e">
        <f>VLOOKUP(A312,#REF!,3,FALSE)</f>
        <v>#REF!</v>
      </c>
      <c r="E312" s="15">
        <f>VLOOKUP(A312,'[1]תקציב 2012 נכון להיום'!$A$2:$E$1361,5,FALSE)</f>
        <v>25172.959999999999</v>
      </c>
      <c r="F312" s="15">
        <v>38000</v>
      </c>
      <c r="G312" s="15">
        <v>18042.48</v>
      </c>
      <c r="H312" s="15">
        <v>6573.6</v>
      </c>
    </row>
    <row r="313" spans="1:8" x14ac:dyDescent="0.15">
      <c r="A313">
        <v>1611000780</v>
      </c>
      <c r="B313" t="s">
        <v>553</v>
      </c>
      <c r="C313" s="16" t="e">
        <f>VLOOKUP(A313,#REF!,3,FALSE)</f>
        <v>#REF!</v>
      </c>
      <c r="E313" s="15">
        <f>VLOOKUP(A313,'[1]תקציב 2012 נכון להיום'!$A$2:$E$1361,5,FALSE)</f>
        <v>22681.9</v>
      </c>
      <c r="F313" s="15">
        <v>30000</v>
      </c>
      <c r="G313" s="15">
        <v>25564.560000000001</v>
      </c>
      <c r="H313" s="15">
        <v>29493.759999999998</v>
      </c>
    </row>
    <row r="314" spans="1:8" x14ac:dyDescent="0.15">
      <c r="A314">
        <v>1611000930</v>
      </c>
      <c r="B314" t="s">
        <v>554</v>
      </c>
      <c r="C314" s="16" t="e">
        <f>VLOOKUP(A314,#REF!,3,FALSE)</f>
        <v>#REF!</v>
      </c>
      <c r="E314" s="15">
        <f>VLOOKUP(A314,'[1]תקציב 2012 נכון להיום'!$A$2:$E$1361,5,FALSE)</f>
        <v>12531</v>
      </c>
      <c r="F314" s="15">
        <v>20000</v>
      </c>
      <c r="G314" s="15">
        <v>8979.68</v>
      </c>
      <c r="H314" s="15">
        <v>9186</v>
      </c>
    </row>
    <row r="315" spans="1:8" x14ac:dyDescent="0.15">
      <c r="A315">
        <v>1611000970</v>
      </c>
      <c r="B315" t="s">
        <v>555</v>
      </c>
      <c r="C315" s="16" t="e">
        <f>VLOOKUP(A315,#REF!,3,FALSE)</f>
        <v>#REF!</v>
      </c>
      <c r="E315" s="15">
        <f>VLOOKUP(A315,'[1]תקציב 2012 נכון להיום'!$A$2:$E$1361,5,FALSE)</f>
        <v>64000</v>
      </c>
      <c r="F315" s="15">
        <v>96000</v>
      </c>
      <c r="G315" s="15">
        <v>96000</v>
      </c>
      <c r="H315" s="15">
        <v>96000</v>
      </c>
    </row>
    <row r="316" spans="1:8" x14ac:dyDescent="0.15">
      <c r="A316">
        <v>1611000980</v>
      </c>
      <c r="B316" t="s">
        <v>556</v>
      </c>
      <c r="C316" s="16" t="e">
        <f>VLOOKUP(A316,#REF!,3,FALSE)</f>
        <v>#REF!</v>
      </c>
      <c r="E316" s="15">
        <f>VLOOKUP(A316,'[1]תקציב 2012 נכון להיום'!$A$2:$E$1361,5,FALSE)</f>
        <v>119619.72</v>
      </c>
      <c r="F316" s="15">
        <v>131595.07999999999</v>
      </c>
      <c r="G316" s="15">
        <v>260712.54</v>
      </c>
      <c r="H316" s="15">
        <v>74589.070000000007</v>
      </c>
    </row>
    <row r="317" spans="1:8" x14ac:dyDescent="0.15">
      <c r="A317">
        <v>1611001731</v>
      </c>
      <c r="B317" t="s">
        <v>557</v>
      </c>
      <c r="C317" s="16" t="e">
        <f>VLOOKUP(A317,#REF!,3,FALSE)</f>
        <v>#REF!</v>
      </c>
      <c r="E317" s="15">
        <f>VLOOKUP(A317,'[1]תקציב 2012 נכון להיום'!$A$2:$E$1361,5,FALSE)</f>
        <v>84762.25</v>
      </c>
      <c r="F317" s="15">
        <v>116000</v>
      </c>
      <c r="G317" s="15">
        <v>124214.34</v>
      </c>
      <c r="H317" s="15">
        <v>121279.47</v>
      </c>
    </row>
    <row r="318" spans="1:8" x14ac:dyDescent="0.15">
      <c r="A318">
        <v>1611100441</v>
      </c>
      <c r="B318" t="s">
        <v>558</v>
      </c>
      <c r="C318" s="16" t="e">
        <f>VLOOKUP(A318,#REF!,3,FALSE)</f>
        <v>#REF!</v>
      </c>
      <c r="E318" s="15">
        <f>VLOOKUP(A318,'[1]תקציב 2012 נכון להיום'!$A$2:$E$1361,5,FALSE)</f>
        <v>21127</v>
      </c>
      <c r="F318" s="15">
        <v>25000</v>
      </c>
      <c r="G318" s="15">
        <v>20450</v>
      </c>
      <c r="H318" s="15">
        <v>18855</v>
      </c>
    </row>
    <row r="319" spans="1:8" x14ac:dyDescent="0.15">
      <c r="A319">
        <v>1611100530</v>
      </c>
      <c r="B319" t="s">
        <v>559</v>
      </c>
      <c r="C319" s="16" t="e">
        <f>VLOOKUP(A319,#REF!,3,FALSE)</f>
        <v>#REF!</v>
      </c>
      <c r="E319" s="15">
        <f>VLOOKUP(A319,'[1]תקציב 2012 נכון להיום'!$A$2:$E$1361,5,FALSE)</f>
        <v>53417.58</v>
      </c>
      <c r="F319" s="15">
        <v>79000</v>
      </c>
      <c r="G319" s="15">
        <v>71283.759999999995</v>
      </c>
      <c r="H319" s="15">
        <v>123701.89</v>
      </c>
    </row>
    <row r="320" spans="1:8" x14ac:dyDescent="0.15">
      <c r="A320">
        <v>1611120530</v>
      </c>
      <c r="B320" t="s">
        <v>560</v>
      </c>
      <c r="C320" s="16" t="e">
        <f>VLOOKUP(A320,#REF!,3,FALSE)</f>
        <v>#REF!</v>
      </c>
      <c r="E320" s="15">
        <f>VLOOKUP(A320,'[1]תקציב 2012 נכון להיום'!$A$2:$E$1361,5,FALSE)</f>
        <v>67470.25</v>
      </c>
      <c r="F320" s="15">
        <v>78000</v>
      </c>
      <c r="G320" s="15">
        <v>74810.27</v>
      </c>
      <c r="H320" s="15">
        <v>66841.58</v>
      </c>
    </row>
    <row r="321" spans="1:8" x14ac:dyDescent="0.15">
      <c r="A321">
        <v>1612000440</v>
      </c>
      <c r="B321" t="s">
        <v>561</v>
      </c>
      <c r="C321" s="16" t="e">
        <f>VLOOKUP(A321,#REF!,3,FALSE)</f>
        <v>#REF!</v>
      </c>
      <c r="E321" s="15">
        <f>VLOOKUP(A321,'[1]תקציב 2012 נכון להיום'!$A$2:$E$1361,5,FALSE)</f>
        <v>8500</v>
      </c>
      <c r="F321" s="15">
        <v>10621</v>
      </c>
      <c r="G321" s="15">
        <v>13531.85</v>
      </c>
      <c r="H321" s="15">
        <v>6118.3</v>
      </c>
    </row>
    <row r="322" spans="1:8" x14ac:dyDescent="0.15">
      <c r="A322">
        <v>1612000521</v>
      </c>
      <c r="B322" t="s">
        <v>562</v>
      </c>
      <c r="C322" s="16" t="e">
        <f>VLOOKUP(A322,#REF!,3,FALSE)</f>
        <v>#REF!</v>
      </c>
      <c r="D322" s="19"/>
      <c r="E322" s="15">
        <f>VLOOKUP(A322,'[1]תקציב 2012 נכון להיום'!$A$2:$E$1361,5,FALSE)</f>
        <v>500</v>
      </c>
      <c r="F322" s="15">
        <v>4000</v>
      </c>
      <c r="G322" s="15">
        <v>0</v>
      </c>
      <c r="H322" s="15">
        <v>0</v>
      </c>
    </row>
    <row r="323" spans="1:8" x14ac:dyDescent="0.15">
      <c r="A323">
        <v>1612000522</v>
      </c>
      <c r="B323" t="s">
        <v>563</v>
      </c>
      <c r="C323" s="16" t="e">
        <f>VLOOKUP(A323,#REF!,3,FALSE)</f>
        <v>#REF!</v>
      </c>
      <c r="E323" s="15">
        <f>VLOOKUP(A323,'[1]תקציב 2012 נכון להיום'!$A$2:$E$1361,5,FALSE)</f>
        <v>2000</v>
      </c>
      <c r="F323" s="15">
        <v>2000</v>
      </c>
      <c r="G323" s="15">
        <v>2901.6</v>
      </c>
      <c r="H323" s="15">
        <v>2790</v>
      </c>
    </row>
    <row r="324" spans="1:8" x14ac:dyDescent="0.15">
      <c r="A324">
        <v>1612000523</v>
      </c>
      <c r="B324" t="s">
        <v>564</v>
      </c>
      <c r="C324" s="16" t="e">
        <f>VLOOKUP(A324,#REF!,3,FALSE)</f>
        <v>#REF!</v>
      </c>
      <c r="E324" s="15">
        <f>VLOOKUP(A324,'[1]תקציב 2012 נכון להיום'!$A$2:$E$1361,5,FALSE)</f>
        <v>0</v>
      </c>
      <c r="F324" s="15">
        <v>1800</v>
      </c>
      <c r="G324" s="15">
        <v>399</v>
      </c>
      <c r="H324" s="15">
        <v>392</v>
      </c>
    </row>
    <row r="325" spans="1:8" x14ac:dyDescent="0.15">
      <c r="A325">
        <v>1612000530</v>
      </c>
      <c r="B325" t="s">
        <v>565</v>
      </c>
      <c r="C325" s="16" t="e">
        <f>VLOOKUP(A325,#REF!,3,FALSE)</f>
        <v>#REF!</v>
      </c>
      <c r="E325" s="15">
        <f>VLOOKUP(A325,'[1]תקציב 2012 נכון להיום'!$A$2:$E$1361,5,FALSE)</f>
        <v>64512.56</v>
      </c>
      <c r="F325" s="15">
        <v>69000</v>
      </c>
      <c r="G325" s="15">
        <v>81071.44</v>
      </c>
      <c r="H325" s="15">
        <v>71870.820000000007</v>
      </c>
    </row>
    <row r="326" spans="1:8" x14ac:dyDescent="0.15">
      <c r="A326">
        <v>1612000560</v>
      </c>
      <c r="B326" t="s">
        <v>566</v>
      </c>
      <c r="C326" s="16" t="e">
        <f>VLOOKUP(A326,#REF!,3,FALSE)</f>
        <v>#REF!</v>
      </c>
      <c r="E326" s="15">
        <f>VLOOKUP(A326,'[1]תקציב 2012 נכון להיום'!$A$2:$E$1361,5,FALSE)</f>
        <v>1342.56</v>
      </c>
      <c r="F326" s="15">
        <v>1600</v>
      </c>
      <c r="G326" s="15">
        <v>1565.55</v>
      </c>
      <c r="H326" s="15">
        <v>400.51</v>
      </c>
    </row>
    <row r="327" spans="1:8" x14ac:dyDescent="0.15">
      <c r="A327">
        <v>1612000780</v>
      </c>
      <c r="B327" t="s">
        <v>567</v>
      </c>
      <c r="C327" s="16" t="e">
        <f>VLOOKUP(A327,#REF!,3,FALSE)</f>
        <v>#REF!</v>
      </c>
      <c r="E327" s="15">
        <f>VLOOKUP(A327,'[1]תקציב 2012 נכון להיום'!$A$2:$E$1361,5,FALSE)</f>
        <v>873.75</v>
      </c>
      <c r="F327" s="15">
        <v>500</v>
      </c>
      <c r="G327" s="15">
        <v>0</v>
      </c>
      <c r="H327" s="15">
        <v>0</v>
      </c>
    </row>
    <row r="328" spans="1:8" x14ac:dyDescent="0.15">
      <c r="A328">
        <v>1612000930</v>
      </c>
      <c r="B328" t="s">
        <v>568</v>
      </c>
      <c r="C328" s="16" t="e">
        <f>VLOOKUP(A328,#REF!,3,FALSE)</f>
        <v>#REF!</v>
      </c>
      <c r="E328" s="15">
        <f>VLOOKUP(A328,'[1]תקציב 2012 נכון להיום'!$A$2:$E$1361,5,FALSE)</f>
        <v>0</v>
      </c>
      <c r="F328" s="15">
        <v>1500</v>
      </c>
      <c r="G328" s="15">
        <v>0</v>
      </c>
      <c r="H328" s="15">
        <v>0</v>
      </c>
    </row>
    <row r="329" spans="1:8" x14ac:dyDescent="0.15">
      <c r="A329">
        <v>1613000440</v>
      </c>
      <c r="B329" t="s">
        <v>558</v>
      </c>
      <c r="C329" s="16" t="e">
        <f>VLOOKUP(A329,#REF!,3,FALSE)</f>
        <v>#REF!</v>
      </c>
      <c r="E329" s="15">
        <f>VLOOKUP(A329,'[1]תקציב 2012 נכון להיום'!$A$2:$E$1361,5,FALSE)</f>
        <v>12900</v>
      </c>
      <c r="F329" s="15">
        <v>14935</v>
      </c>
      <c r="G329" s="15">
        <v>18583.919999999998</v>
      </c>
      <c r="H329" s="15">
        <v>9452.76</v>
      </c>
    </row>
    <row r="330" spans="1:8" x14ac:dyDescent="0.15">
      <c r="A330">
        <v>1613000470</v>
      </c>
      <c r="B330" t="s">
        <v>569</v>
      </c>
      <c r="C330" s="16" t="e">
        <f>VLOOKUP(A330,#REF!,3,FALSE)</f>
        <v>#REF!</v>
      </c>
      <c r="E330" s="15">
        <f>VLOOKUP(A330,'[1]תקציב 2012 נכון להיום'!$A$2:$E$1361,5,FALSE)</f>
        <v>300</v>
      </c>
      <c r="F330" s="15">
        <v>1000</v>
      </c>
      <c r="G330" s="15">
        <v>0</v>
      </c>
      <c r="H330" s="15">
        <v>0</v>
      </c>
    </row>
    <row r="331" spans="1:8" x14ac:dyDescent="0.15">
      <c r="A331">
        <v>1613000512</v>
      </c>
      <c r="B331" t="s">
        <v>570</v>
      </c>
      <c r="C331" s="16" t="e">
        <f>VLOOKUP(A331,#REF!,3,FALSE)</f>
        <v>#REF!</v>
      </c>
      <c r="E331" s="15">
        <f>VLOOKUP(A331,'[1]תקציב 2012 נכון להיום'!$A$2:$E$1361,5,FALSE)</f>
        <v>0</v>
      </c>
      <c r="F331" s="15">
        <v>100</v>
      </c>
      <c r="G331" s="15">
        <v>0</v>
      </c>
      <c r="H331" s="15">
        <v>0</v>
      </c>
    </row>
    <row r="332" spans="1:8" x14ac:dyDescent="0.15">
      <c r="A332">
        <v>1613000520</v>
      </c>
      <c r="B332" t="s">
        <v>571</v>
      </c>
      <c r="C332" s="16" t="e">
        <f>VLOOKUP(A332,#REF!,3,FALSE)</f>
        <v>#REF!</v>
      </c>
      <c r="E332" s="15">
        <f>VLOOKUP(A332,'[1]תקציב 2012 נכון להיום'!$A$2:$E$1361,5,FALSE)</f>
        <v>1704</v>
      </c>
      <c r="F332" s="15">
        <v>2000</v>
      </c>
      <c r="G332" s="15">
        <v>1704</v>
      </c>
      <c r="H332" s="15">
        <v>2000</v>
      </c>
    </row>
    <row r="333" spans="1:8" x14ac:dyDescent="0.15">
      <c r="A333">
        <v>1613000521</v>
      </c>
      <c r="B333" t="s">
        <v>572</v>
      </c>
      <c r="C333" s="16" t="e">
        <f>VLOOKUP(A333,#REF!,3,FALSE)</f>
        <v>#REF!</v>
      </c>
      <c r="E333" s="15">
        <f>VLOOKUP(A333,'[1]תקציב 2012 נכון להיום'!$A$2:$E$1361,5,FALSE)</f>
        <v>874</v>
      </c>
      <c r="F333" s="15">
        <v>5000</v>
      </c>
      <c r="G333" s="15">
        <v>5133.2700000000004</v>
      </c>
      <c r="H333" s="15">
        <v>2000</v>
      </c>
    </row>
    <row r="334" spans="1:8" x14ac:dyDescent="0.15">
      <c r="A334">
        <v>1613000522</v>
      </c>
      <c r="B334" t="s">
        <v>573</v>
      </c>
      <c r="C334" s="16" t="e">
        <f>VLOOKUP(A334,#REF!,3,FALSE)</f>
        <v>#REF!</v>
      </c>
      <c r="E334" s="15">
        <f>VLOOKUP(A334,'[1]תקציב 2012 נכון להיום'!$A$2:$E$1361,5,FALSE)</f>
        <v>770</v>
      </c>
      <c r="F334" s="15">
        <v>5000</v>
      </c>
      <c r="G334" s="15">
        <v>4999.79</v>
      </c>
      <c r="H334" s="15">
        <v>2483</v>
      </c>
    </row>
    <row r="335" spans="1:8" x14ac:dyDescent="0.15">
      <c r="A335">
        <v>1613000523</v>
      </c>
      <c r="B335" t="s">
        <v>574</v>
      </c>
      <c r="C335" s="16" t="e">
        <f>VLOOKUP(A335,#REF!,3,FALSE)</f>
        <v>#REF!</v>
      </c>
      <c r="E335" s="15">
        <f>VLOOKUP(A335,'[1]תקציב 2012 נכון להיום'!$A$2:$E$1361,5,FALSE)</f>
        <v>1850</v>
      </c>
      <c r="F335" s="15">
        <v>2500</v>
      </c>
      <c r="G335" s="15">
        <v>1500</v>
      </c>
      <c r="H335" s="15">
        <v>0</v>
      </c>
    </row>
    <row r="336" spans="1:8" x14ac:dyDescent="0.15">
      <c r="A336">
        <v>1613000530</v>
      </c>
      <c r="B336" t="s">
        <v>575</v>
      </c>
      <c r="C336" s="16" t="e">
        <f>VLOOKUP(A336,#REF!,3,FALSE)</f>
        <v>#REF!</v>
      </c>
      <c r="E336" s="15">
        <f>VLOOKUP(A336,'[1]תקציב 2012 נכון להיום'!$A$2:$E$1361,5,FALSE)</f>
        <v>62461.66</v>
      </c>
      <c r="F336" s="15">
        <v>69000</v>
      </c>
      <c r="G336" s="15">
        <v>103979.04</v>
      </c>
      <c r="H336" s="15">
        <v>110260.98</v>
      </c>
    </row>
    <row r="337" spans="1:8" x14ac:dyDescent="0.15">
      <c r="A337">
        <v>1613000560</v>
      </c>
      <c r="B337" t="s">
        <v>576</v>
      </c>
      <c r="C337" s="16" t="e">
        <f>VLOOKUP(A337,#REF!,3,FALSE)</f>
        <v>#REF!</v>
      </c>
      <c r="E337" s="15">
        <f>VLOOKUP(A337,'[1]תקציב 2012 נכון להיום'!$A$2:$E$1361,5,FALSE)</f>
        <v>3488.77</v>
      </c>
      <c r="F337" s="15">
        <v>8000</v>
      </c>
      <c r="G337" s="15">
        <v>7584.31</v>
      </c>
      <c r="H337" s="15">
        <v>6731.22</v>
      </c>
    </row>
    <row r="338" spans="1:8" x14ac:dyDescent="0.15">
      <c r="A338">
        <v>1613000580</v>
      </c>
      <c r="B338" t="s">
        <v>577</v>
      </c>
      <c r="C338" s="16" t="e">
        <f>VLOOKUP(A338,#REF!,3,FALSE)</f>
        <v>#REF!</v>
      </c>
      <c r="E338" s="15">
        <f>VLOOKUP(A338,'[1]תקציב 2012 נכון להיום'!$A$2:$E$1361,5,FALSE)</f>
        <v>1382.29</v>
      </c>
      <c r="F338" s="15">
        <v>8000</v>
      </c>
      <c r="G338" s="15">
        <v>5519.2</v>
      </c>
      <c r="H338" s="15">
        <v>4733.96</v>
      </c>
    </row>
    <row r="339" spans="1:8" x14ac:dyDescent="0.15">
      <c r="A339">
        <v>1613000810</v>
      </c>
      <c r="B339" t="s">
        <v>578</v>
      </c>
      <c r="C339" s="16" t="e">
        <f>VLOOKUP(A339,#REF!,3,FALSE)</f>
        <v>#REF!</v>
      </c>
      <c r="E339" s="15">
        <f>VLOOKUP(A339,'[1]תקציב 2012 נכון להיום'!$A$2:$E$1361,5,FALSE)</f>
        <v>0</v>
      </c>
      <c r="F339" s="15">
        <v>30000</v>
      </c>
      <c r="G339" s="15">
        <v>44200</v>
      </c>
      <c r="H339" s="15">
        <v>0</v>
      </c>
    </row>
    <row r="340" spans="1:8" x14ac:dyDescent="0.15">
      <c r="A340">
        <v>1613000930</v>
      </c>
      <c r="B340" t="s">
        <v>579</v>
      </c>
      <c r="C340" s="16" t="e">
        <f>VLOOKUP(A340,#REF!,3,FALSE)</f>
        <v>#REF!</v>
      </c>
      <c r="E340" s="15">
        <f>VLOOKUP(A340,'[1]תקציב 2012 נכון להיום'!$A$2:$E$1361,5,FALSE)</f>
        <v>16371</v>
      </c>
      <c r="F340" s="15">
        <v>20000</v>
      </c>
      <c r="G340" s="15">
        <v>15908.05</v>
      </c>
      <c r="H340" s="15">
        <v>13014.04</v>
      </c>
    </row>
    <row r="341" spans="1:8" x14ac:dyDescent="0.15">
      <c r="A341">
        <v>1613000980</v>
      </c>
      <c r="B341" t="s">
        <v>580</v>
      </c>
      <c r="C341" s="16" t="e">
        <f>VLOOKUP(A341,#REF!,3,FALSE)</f>
        <v>#REF!</v>
      </c>
      <c r="E341" s="15">
        <f>VLOOKUP(A341,'[1]תקציב 2012 נכון להיום'!$A$2:$E$1361,5,FALSE)</f>
        <v>26283.32</v>
      </c>
      <c r="F341" s="15">
        <v>30000</v>
      </c>
      <c r="G341" s="15">
        <v>25149.41</v>
      </c>
      <c r="H341" s="15">
        <v>30296.14</v>
      </c>
    </row>
    <row r="342" spans="1:8" x14ac:dyDescent="0.15">
      <c r="A342">
        <v>1614000470</v>
      </c>
      <c r="B342" t="s">
        <v>581</v>
      </c>
      <c r="C342" s="16" t="e">
        <f>VLOOKUP(A342,#REF!,3,FALSE)</f>
        <v>#REF!</v>
      </c>
      <c r="E342" s="15">
        <f>VLOOKUP(A342,'[1]תקציב 2012 נכון להיום'!$A$2:$E$1361,5,FALSE)</f>
        <v>746</v>
      </c>
      <c r="F342" s="15">
        <v>1000</v>
      </c>
      <c r="G342" s="15">
        <v>1040.81</v>
      </c>
      <c r="H342" s="15">
        <v>599.79999999999995</v>
      </c>
    </row>
    <row r="343" spans="1:8" x14ac:dyDescent="0.15">
      <c r="A343">
        <v>1614000521</v>
      </c>
      <c r="B343" t="s">
        <v>582</v>
      </c>
      <c r="C343" s="16" t="e">
        <f>VLOOKUP(A343,#REF!,3,FALSE)</f>
        <v>#REF!</v>
      </c>
      <c r="E343" s="15">
        <f>VLOOKUP(A343,'[1]תקציב 2012 נכון להיום'!$A$2:$E$1361,5,FALSE)</f>
        <v>4450</v>
      </c>
      <c r="F343" s="15">
        <v>6000</v>
      </c>
      <c r="G343" s="15">
        <v>0</v>
      </c>
      <c r="H343" s="15">
        <v>0</v>
      </c>
    </row>
    <row r="344" spans="1:8" x14ac:dyDescent="0.15">
      <c r="A344">
        <v>1614000522</v>
      </c>
      <c r="B344" t="s">
        <v>583</v>
      </c>
      <c r="C344" s="16" t="e">
        <f>VLOOKUP(A344,#REF!,3,FALSE)</f>
        <v>#REF!</v>
      </c>
      <c r="E344" s="15">
        <f>VLOOKUP(A344,'[1]תקציב 2012 נכון להיום'!$A$2:$E$1361,5,FALSE)</f>
        <v>800</v>
      </c>
      <c r="F344" s="15">
        <v>1500</v>
      </c>
      <c r="G344" s="15">
        <v>790</v>
      </c>
      <c r="H344" s="15">
        <v>0</v>
      </c>
    </row>
    <row r="345" spans="1:8" x14ac:dyDescent="0.15">
      <c r="A345">
        <v>1614000550</v>
      </c>
      <c r="B345" t="s">
        <v>584</v>
      </c>
      <c r="C345" s="16" t="e">
        <f>VLOOKUP(A345,#REF!,3,FALSE)</f>
        <v>#REF!</v>
      </c>
      <c r="E345" s="15">
        <f>VLOOKUP(A345,'[1]תקציב 2012 נכון להיום'!$A$2:$E$1361,5,FALSE)</f>
        <v>165780.9</v>
      </c>
      <c r="F345" s="15">
        <v>190000</v>
      </c>
      <c r="G345" s="15">
        <v>180866.75</v>
      </c>
      <c r="H345" s="15">
        <v>230830.75</v>
      </c>
    </row>
    <row r="346" spans="1:8" x14ac:dyDescent="0.15">
      <c r="A346">
        <v>1614000930</v>
      </c>
      <c r="B346" t="s">
        <v>585</v>
      </c>
      <c r="C346" s="16" t="e">
        <f>VLOOKUP(A346,#REF!,3,FALSE)</f>
        <v>#REF!</v>
      </c>
      <c r="E346" s="15">
        <f>VLOOKUP(A346,'[1]תקציב 2012 נכון להיום'!$A$2:$E$1361,5,FALSE)</f>
        <v>2000</v>
      </c>
      <c r="F346" s="15">
        <v>2000</v>
      </c>
      <c r="G346" s="15">
        <v>2000</v>
      </c>
      <c r="H346" s="15">
        <v>2000</v>
      </c>
    </row>
    <row r="347" spans="1:8" x14ac:dyDescent="0.15">
      <c r="A347">
        <v>1614001551</v>
      </c>
      <c r="B347" t="s">
        <v>586</v>
      </c>
      <c r="C347" s="16" t="e">
        <f>VLOOKUP(A347,#REF!,3,FALSE)</f>
        <v>#REF!</v>
      </c>
      <c r="E347" s="15">
        <f>VLOOKUP(A347,'[1]תקציב 2012 נכון להיום'!$A$2:$E$1361,5,FALSE)</f>
        <v>69167.75</v>
      </c>
      <c r="F347" s="15">
        <v>83000</v>
      </c>
      <c r="G347" s="15">
        <v>61257.35</v>
      </c>
      <c r="H347" s="15">
        <v>51281.82</v>
      </c>
    </row>
    <row r="348" spans="1:8" x14ac:dyDescent="0.15">
      <c r="A348">
        <v>1615000522</v>
      </c>
      <c r="B348" t="s">
        <v>587</v>
      </c>
      <c r="C348" s="16" t="e">
        <f>VLOOKUP(A348,#REF!,3,FALSE)</f>
        <v>#REF!</v>
      </c>
      <c r="E348" s="15">
        <f>VLOOKUP(A348,'[1]תקציב 2012 נכון להיום'!$A$2:$E$1361,5,FALSE)</f>
        <v>770</v>
      </c>
      <c r="F348" s="15">
        <v>2000</v>
      </c>
      <c r="G348" s="15">
        <v>1330</v>
      </c>
      <c r="H348" s="15">
        <v>770</v>
      </c>
    </row>
    <row r="349" spans="1:8" x14ac:dyDescent="0.15">
      <c r="A349">
        <v>1615000523</v>
      </c>
      <c r="B349" t="s">
        <v>588</v>
      </c>
      <c r="C349" s="16" t="e">
        <f>VLOOKUP(A349,#REF!,3,FALSE)</f>
        <v>#REF!</v>
      </c>
      <c r="E349" s="15">
        <f>VLOOKUP(A349,'[1]תקציב 2012 נכון להיום'!$A$2:$E$1361,5,FALSE)</f>
        <v>0</v>
      </c>
      <c r="F349" s="15">
        <v>0</v>
      </c>
      <c r="G349" s="15">
        <v>0</v>
      </c>
      <c r="H349" s="15">
        <v>0</v>
      </c>
    </row>
    <row r="350" spans="1:8" x14ac:dyDescent="0.15">
      <c r="A350">
        <v>1615000560</v>
      </c>
      <c r="B350" t="s">
        <v>589</v>
      </c>
      <c r="C350" s="16" t="e">
        <f>VLOOKUP(A350,#REF!,3,FALSE)</f>
        <v>#REF!</v>
      </c>
      <c r="E350" s="15">
        <f>VLOOKUP(A350,'[1]תקציב 2012 נכון להיום'!$A$2:$E$1361,5,FALSE)</f>
        <v>1818.31</v>
      </c>
      <c r="F350" s="15">
        <v>3000</v>
      </c>
      <c r="G350" s="15">
        <v>3666.17</v>
      </c>
      <c r="H350" s="15">
        <v>3150.24</v>
      </c>
    </row>
    <row r="351" spans="1:8" x14ac:dyDescent="0.15">
      <c r="A351">
        <v>1615000571</v>
      </c>
      <c r="B351" t="s">
        <v>590</v>
      </c>
      <c r="C351" s="16" t="e">
        <f>VLOOKUP(A351,#REF!,3,FALSE)</f>
        <v>#REF!</v>
      </c>
      <c r="E351" s="15">
        <f>VLOOKUP(A351,'[1]תקציב 2012 נכון להיום'!$A$2:$E$1361,5,FALSE)</f>
        <v>10000</v>
      </c>
      <c r="F351" s="15">
        <v>10000</v>
      </c>
      <c r="G351" s="15">
        <v>0</v>
      </c>
      <c r="H351" s="15">
        <v>0</v>
      </c>
    </row>
    <row r="352" spans="1:8" x14ac:dyDescent="0.15">
      <c r="A352">
        <v>1615000760</v>
      </c>
      <c r="B352" t="s">
        <v>552</v>
      </c>
      <c r="C352" s="16" t="e">
        <f>VLOOKUP(A352,#REF!,3,FALSE)</f>
        <v>#REF!</v>
      </c>
      <c r="E352" s="15">
        <f>VLOOKUP(A352,'[1]תקציב 2012 נכון להיום'!$A$2:$E$1361,5,FALSE)</f>
        <v>0</v>
      </c>
      <c r="F352" s="15">
        <v>0</v>
      </c>
      <c r="G352" s="15">
        <v>0</v>
      </c>
      <c r="H352" s="15">
        <v>16869</v>
      </c>
    </row>
    <row r="353" spans="1:8" x14ac:dyDescent="0.15">
      <c r="A353">
        <v>1615000780</v>
      </c>
      <c r="B353" t="s">
        <v>591</v>
      </c>
      <c r="C353" s="16" t="e">
        <f>VLOOKUP(A353,#REF!,3,FALSE)</f>
        <v>#REF!</v>
      </c>
      <c r="E353" s="15">
        <f>VLOOKUP(A353,'[1]תקציב 2012 נכון להיום'!$A$2:$E$1361,5,FALSE)</f>
        <v>5714.95</v>
      </c>
      <c r="F353" s="15">
        <v>12000</v>
      </c>
      <c r="G353" s="15">
        <v>16085.63</v>
      </c>
      <c r="H353" s="15">
        <v>7364.58</v>
      </c>
    </row>
    <row r="354" spans="1:8" x14ac:dyDescent="0.15">
      <c r="A354">
        <v>1615000930</v>
      </c>
      <c r="B354" t="s">
        <v>592</v>
      </c>
      <c r="C354" s="16" t="e">
        <f>VLOOKUP(A354,#REF!,3,FALSE)</f>
        <v>#REF!</v>
      </c>
      <c r="E354" s="15">
        <f>VLOOKUP(A354,'[1]תקציב 2012 נכון להיום'!$A$2:$E$1361,5,FALSE)</f>
        <v>860</v>
      </c>
      <c r="F354" s="15">
        <v>10000</v>
      </c>
      <c r="G354" s="15">
        <v>10975.46</v>
      </c>
      <c r="H354" s="15">
        <v>5328.47</v>
      </c>
    </row>
    <row r="355" spans="1:8" x14ac:dyDescent="0.15">
      <c r="A355">
        <v>1617000440</v>
      </c>
      <c r="B355" t="s">
        <v>593</v>
      </c>
      <c r="C355" s="16" t="e">
        <f>VLOOKUP(A355,#REF!,3,FALSE)</f>
        <v>#REF!</v>
      </c>
      <c r="E355" s="15">
        <f>VLOOKUP(A355,'[1]תקציב 2012 נכון להיום'!$A$2:$E$1361,5,FALSE)</f>
        <v>11535</v>
      </c>
      <c r="F355" s="15">
        <v>36000</v>
      </c>
      <c r="G355" s="15">
        <v>25181.85</v>
      </c>
      <c r="H355" s="15">
        <v>9068.2999999999993</v>
      </c>
    </row>
    <row r="356" spans="1:8" x14ac:dyDescent="0.15">
      <c r="A356">
        <v>1617000441</v>
      </c>
      <c r="B356" t="s">
        <v>594</v>
      </c>
      <c r="C356" s="16" t="e">
        <f>VLOOKUP(A356,#REF!,3,FALSE)</f>
        <v>#REF!</v>
      </c>
      <c r="E356" s="15">
        <f>VLOOKUP(A356,'[1]תקציב 2012 נכון להיום'!$A$2:$E$1361,5,FALSE)</f>
        <v>313337</v>
      </c>
      <c r="F356" s="15">
        <v>157000</v>
      </c>
      <c r="G356" s="15">
        <v>213615.72</v>
      </c>
      <c r="H356" s="15">
        <v>487639.65</v>
      </c>
    </row>
    <row r="357" spans="1:8" x14ac:dyDescent="0.15">
      <c r="A357">
        <v>1617000442</v>
      </c>
      <c r="B357" t="s">
        <v>595</v>
      </c>
      <c r="C357" s="16" t="e">
        <f>VLOOKUP(A357,#REF!,3,FALSE)</f>
        <v>#REF!</v>
      </c>
      <c r="E357" s="15">
        <f>VLOOKUP(A357,'[1]תקציב 2012 נכון להיום'!$A$2:$E$1361,5,FALSE)</f>
        <v>143549</v>
      </c>
      <c r="F357" s="15">
        <v>140000</v>
      </c>
      <c r="G357" s="15">
        <v>134410.26999999999</v>
      </c>
      <c r="H357" s="15">
        <v>6308</v>
      </c>
    </row>
    <row r="358" spans="1:8" x14ac:dyDescent="0.15">
      <c r="A358">
        <v>1617000500</v>
      </c>
      <c r="B358" t="s">
        <v>596</v>
      </c>
      <c r="C358" s="16" t="e">
        <f>VLOOKUP(A358,#REF!,3,FALSE)</f>
        <v>#REF!</v>
      </c>
      <c r="E358" s="15">
        <f>VLOOKUP(A358,'[1]תקציב 2012 נכון להיום'!$A$2:$E$1361,5,FALSE)</f>
        <v>127705</v>
      </c>
      <c r="F358" s="15">
        <v>20000</v>
      </c>
      <c r="G358" s="15">
        <v>578481.44999999995</v>
      </c>
      <c r="H358" s="15">
        <v>220236.82</v>
      </c>
    </row>
    <row r="359" spans="1:8" x14ac:dyDescent="0.15">
      <c r="A359">
        <v>1617000511</v>
      </c>
      <c r="B359" t="s">
        <v>597</v>
      </c>
      <c r="C359" s="16" t="e">
        <f>VLOOKUP(A359,#REF!,3,FALSE)</f>
        <v>#REF!</v>
      </c>
      <c r="E359" s="15">
        <f>VLOOKUP(A359,'[1]תקציב 2012 נכון להיום'!$A$2:$E$1361,5,FALSE)</f>
        <v>1215.3</v>
      </c>
      <c r="F359" s="15">
        <v>1500</v>
      </c>
      <c r="G359" s="15">
        <v>531.38</v>
      </c>
      <c r="H359" s="15">
        <v>79.400000000000006</v>
      </c>
    </row>
    <row r="360" spans="1:8" x14ac:dyDescent="0.15">
      <c r="A360">
        <v>1617000512</v>
      </c>
      <c r="B360" t="s">
        <v>598</v>
      </c>
      <c r="C360" s="16" t="e">
        <f>VLOOKUP(A360,#REF!,3,FALSE)</f>
        <v>#REF!</v>
      </c>
      <c r="E360" s="15">
        <f>VLOOKUP(A360,'[1]תקציב 2012 נכון להיום'!$A$2:$E$1361,5,FALSE)</f>
        <v>1049.3</v>
      </c>
      <c r="F360" s="15">
        <v>1000</v>
      </c>
      <c r="G360" s="15">
        <v>1000</v>
      </c>
      <c r="H360" s="15">
        <v>399.5</v>
      </c>
    </row>
    <row r="361" spans="1:8" x14ac:dyDescent="0.15">
      <c r="A361">
        <v>1617000521</v>
      </c>
      <c r="B361" t="s">
        <v>599</v>
      </c>
      <c r="C361" s="16" t="e">
        <f>VLOOKUP(A361,#REF!,3,FALSE)</f>
        <v>#REF!</v>
      </c>
      <c r="E361" s="15">
        <f>VLOOKUP(A361,'[1]תקציב 2012 נכון להיום'!$A$2:$E$1361,5,FALSE)</f>
        <v>8851</v>
      </c>
      <c r="F361" s="15">
        <v>12850</v>
      </c>
      <c r="G361" s="15">
        <v>11731.99</v>
      </c>
      <c r="H361" s="15">
        <v>7745</v>
      </c>
    </row>
    <row r="362" spans="1:8" x14ac:dyDescent="0.15">
      <c r="A362">
        <v>1617000522</v>
      </c>
      <c r="B362" t="s">
        <v>600</v>
      </c>
      <c r="C362" s="16" t="e">
        <f>VLOOKUP(A362,#REF!,3,FALSE)</f>
        <v>#REF!</v>
      </c>
      <c r="E362" s="15">
        <f>VLOOKUP(A362,'[1]תקציב 2012 נכון להיום'!$A$2:$E$1361,5,FALSE)</f>
        <v>3962.92</v>
      </c>
      <c r="F362" s="15">
        <v>7500</v>
      </c>
      <c r="G362" s="15">
        <v>6798</v>
      </c>
      <c r="H362" s="15">
        <v>5498.01</v>
      </c>
    </row>
    <row r="363" spans="1:8" x14ac:dyDescent="0.15">
      <c r="A363">
        <v>1617000523</v>
      </c>
      <c r="B363" t="s">
        <v>601</v>
      </c>
      <c r="C363" s="16" t="e">
        <f>VLOOKUP(A363,#REF!,3,FALSE)</f>
        <v>#REF!</v>
      </c>
      <c r="E363" s="15">
        <f>VLOOKUP(A363,'[1]תקציב 2012 נכון להיום'!$A$2:$E$1361,5,FALSE)</f>
        <v>4520</v>
      </c>
      <c r="F363" s="15">
        <v>5600</v>
      </c>
      <c r="G363" s="15">
        <v>4390</v>
      </c>
      <c r="H363" s="15">
        <v>3600</v>
      </c>
    </row>
    <row r="364" spans="1:8" x14ac:dyDescent="0.15">
      <c r="A364">
        <v>1617000530</v>
      </c>
      <c r="B364" t="s">
        <v>602</v>
      </c>
      <c r="C364" s="16" t="e">
        <f>VLOOKUP(A364,#REF!,3,FALSE)</f>
        <v>#REF!</v>
      </c>
      <c r="E364" s="15">
        <f>VLOOKUP(A364,'[1]תקציב 2012 נכון להיום'!$A$2:$E$1361,5,FALSE)</f>
        <v>55407.3</v>
      </c>
      <c r="F364" s="15">
        <v>69000</v>
      </c>
      <c r="G364" s="15">
        <v>70074.14</v>
      </c>
      <c r="H364" s="15">
        <v>95491.48</v>
      </c>
    </row>
    <row r="365" spans="1:8" x14ac:dyDescent="0.15">
      <c r="A365">
        <v>1617000540</v>
      </c>
      <c r="B365" t="s">
        <v>603</v>
      </c>
      <c r="C365" s="16" t="e">
        <f>VLOOKUP(A365,#REF!,3,FALSE)</f>
        <v>#REF!</v>
      </c>
      <c r="E365" s="15">
        <f>VLOOKUP(A365,'[1]תקציב 2012 נכון להיום'!$A$2:$E$1361,5,FALSE)</f>
        <v>85</v>
      </c>
      <c r="F365" s="15">
        <v>500</v>
      </c>
      <c r="G365" s="15">
        <v>214.74</v>
      </c>
      <c r="H365" s="15">
        <v>0</v>
      </c>
    </row>
    <row r="366" spans="1:8" x14ac:dyDescent="0.15">
      <c r="A366">
        <v>1617000560</v>
      </c>
      <c r="B366" t="s">
        <v>604</v>
      </c>
      <c r="C366" s="16" t="e">
        <f>VLOOKUP(A366,#REF!,3,FALSE)</f>
        <v>#REF!</v>
      </c>
      <c r="E366" s="15">
        <f>VLOOKUP(A366,'[1]תקציב 2012 נכון להיום'!$A$2:$E$1361,5,FALSE)</f>
        <v>3994.07</v>
      </c>
      <c r="F366" s="15">
        <v>10000</v>
      </c>
      <c r="G366" s="15">
        <v>11429.18</v>
      </c>
      <c r="H366" s="15">
        <v>6969.18</v>
      </c>
    </row>
    <row r="367" spans="1:8" x14ac:dyDescent="0.15">
      <c r="A367">
        <v>1617000570</v>
      </c>
      <c r="B367" t="s">
        <v>605</v>
      </c>
      <c r="C367" s="16" t="e">
        <f>VLOOKUP(A367,#REF!,3,FALSE)</f>
        <v>#REF!</v>
      </c>
      <c r="E367" s="15">
        <f>VLOOKUP(A367,'[1]תקציב 2012 נכון להיום'!$A$2:$E$1361,5,FALSE)</f>
        <v>10515</v>
      </c>
      <c r="F367" s="15">
        <v>14000</v>
      </c>
      <c r="G367" s="15">
        <v>7738.68</v>
      </c>
      <c r="H367" s="15">
        <v>66406</v>
      </c>
    </row>
    <row r="368" spans="1:8" x14ac:dyDescent="0.15">
      <c r="A368">
        <v>1617000581</v>
      </c>
      <c r="B368" t="s">
        <v>606</v>
      </c>
      <c r="C368" s="16" t="e">
        <f>VLOOKUP(A368,#REF!,3,FALSE)</f>
        <v>#REF!</v>
      </c>
      <c r="E368" s="15">
        <f>VLOOKUP(A368,'[1]תקציב 2012 נכון להיום'!$A$2:$E$1361,5,FALSE)</f>
        <v>53596</v>
      </c>
      <c r="F368" s="15">
        <v>50000</v>
      </c>
      <c r="G368" s="15">
        <v>23119.5</v>
      </c>
      <c r="H368" s="15">
        <v>74619.570000000007</v>
      </c>
    </row>
    <row r="369" spans="1:8" x14ac:dyDescent="0.15">
      <c r="A369">
        <v>1617000750</v>
      </c>
      <c r="B369" t="s">
        <v>607</v>
      </c>
      <c r="C369" s="16" t="e">
        <f>VLOOKUP(A369,#REF!,3,FALSE)</f>
        <v>#REF!</v>
      </c>
      <c r="E369" s="15">
        <f>VLOOKUP(A369,'[1]תקציב 2012 נכון להיום'!$A$2:$E$1361,5,FALSE)</f>
        <v>305456.44</v>
      </c>
      <c r="F369" s="15">
        <v>300000</v>
      </c>
      <c r="G369" s="15">
        <v>469350.13</v>
      </c>
      <c r="H369" s="15">
        <v>859155.22</v>
      </c>
    </row>
    <row r="370" spans="1:8" x14ac:dyDescent="0.15">
      <c r="A370">
        <v>1617000760</v>
      </c>
      <c r="B370" t="s">
        <v>552</v>
      </c>
      <c r="C370" s="16" t="e">
        <f>VLOOKUP(A370,#REF!,3,FALSE)</f>
        <v>#REF!</v>
      </c>
      <c r="E370" s="15">
        <f>VLOOKUP(A370,'[1]תקציב 2012 נכון להיום'!$A$2:$E$1361,5,FALSE)</f>
        <v>2504.64</v>
      </c>
      <c r="F370" s="15">
        <v>3000</v>
      </c>
      <c r="G370" s="15">
        <v>11702.88</v>
      </c>
      <c r="H370" s="15">
        <v>0</v>
      </c>
    </row>
    <row r="371" spans="1:8" x14ac:dyDescent="0.15">
      <c r="A371">
        <v>1617000930</v>
      </c>
      <c r="B371" t="s">
        <v>608</v>
      </c>
      <c r="C371" s="16" t="e">
        <f>VLOOKUP(A371,#REF!,3,FALSE)</f>
        <v>#REF!</v>
      </c>
      <c r="E371" s="15">
        <f>VLOOKUP(A371,'[1]תקציב 2012 נכון להיום'!$A$2:$E$1361,5,FALSE)</f>
        <v>18114.48</v>
      </c>
      <c r="F371" s="15">
        <v>24500</v>
      </c>
      <c r="G371" s="15">
        <v>1150</v>
      </c>
      <c r="H371" s="15">
        <v>5740.8</v>
      </c>
    </row>
    <row r="372" spans="1:8" x14ac:dyDescent="0.15">
      <c r="A372">
        <v>1617000980</v>
      </c>
      <c r="B372" t="s">
        <v>609</v>
      </c>
      <c r="C372" s="16" t="e">
        <f>VLOOKUP(A372,#REF!,3,FALSE)</f>
        <v>#REF!</v>
      </c>
      <c r="E372" s="15">
        <f>VLOOKUP(A372,'[1]תקציב 2012 נכון להיום'!$A$2:$E$1361,5,FALSE)</f>
        <v>5675.4</v>
      </c>
      <c r="F372" s="15">
        <v>5000</v>
      </c>
      <c r="G372" s="15">
        <v>5950</v>
      </c>
      <c r="H372" s="15">
        <v>974.4</v>
      </c>
    </row>
    <row r="373" spans="1:8" ht="14" thickBot="1" x14ac:dyDescent="0.2">
      <c r="A373">
        <v>1621100440</v>
      </c>
      <c r="B373" t="s">
        <v>610</v>
      </c>
      <c r="C373" s="16" t="e">
        <f>VLOOKUP(A373,#REF!,3,FALSE)</f>
        <v>#REF!</v>
      </c>
      <c r="E373" s="15">
        <f>VLOOKUP(A373,'[1]תקציב 2012 נכון להיום'!$A$2:$E$1361,5,FALSE)</f>
        <v>8500</v>
      </c>
      <c r="F373" s="15">
        <v>10621</v>
      </c>
      <c r="G373" s="15">
        <v>13531.85</v>
      </c>
      <c r="H373" s="15">
        <v>6118.3</v>
      </c>
    </row>
    <row r="374" spans="1:8" x14ac:dyDescent="0.15">
      <c r="A374">
        <v>1621100470</v>
      </c>
      <c r="B374" t="s">
        <v>611</v>
      </c>
      <c r="C374" s="16" t="e">
        <f>VLOOKUP(A374,#REF!,3,FALSE)</f>
        <v>#REF!</v>
      </c>
      <c r="D374" s="337" t="s">
        <v>1113</v>
      </c>
      <c r="E374" s="15">
        <f>VLOOKUP(A374,'[1]תקציב 2012 נכון להיום'!$A$2:$E$1361,5,FALSE)</f>
        <v>1382</v>
      </c>
      <c r="F374" s="15">
        <v>1400</v>
      </c>
      <c r="G374" s="15">
        <v>3113.16</v>
      </c>
      <c r="H374" s="15">
        <v>2250.96</v>
      </c>
    </row>
    <row r="375" spans="1:8" x14ac:dyDescent="0.15">
      <c r="A375">
        <v>1621100511</v>
      </c>
      <c r="B375" t="s">
        <v>612</v>
      </c>
      <c r="C375" s="16" t="e">
        <f>VLOOKUP(A375,#REF!,3,FALSE)</f>
        <v>#REF!</v>
      </c>
      <c r="D375" s="338"/>
      <c r="E375" s="15">
        <f>VLOOKUP(A375,'[1]תקציב 2012 נכון להיום'!$A$2:$E$1361,5,FALSE)</f>
        <v>0</v>
      </c>
      <c r="F375" s="15">
        <v>1000</v>
      </c>
      <c r="G375" s="15">
        <v>82</v>
      </c>
      <c r="H375" s="15">
        <v>0</v>
      </c>
    </row>
    <row r="376" spans="1:8" x14ac:dyDescent="0.15">
      <c r="A376">
        <v>1621100512</v>
      </c>
      <c r="B376" t="s">
        <v>613</v>
      </c>
      <c r="C376" s="16" t="e">
        <f>VLOOKUP(A376,#REF!,3,FALSE)</f>
        <v>#REF!</v>
      </c>
      <c r="D376" s="338"/>
      <c r="E376" s="15">
        <f>VLOOKUP(A376,'[1]תקציב 2012 נכון להיום'!$A$2:$E$1361,5,FALSE)</f>
        <v>1500</v>
      </c>
      <c r="F376" s="15">
        <v>2000</v>
      </c>
      <c r="G376" s="15">
        <v>1646.8</v>
      </c>
      <c r="H376" s="15">
        <v>68</v>
      </c>
    </row>
    <row r="377" spans="1:8" x14ac:dyDescent="0.15">
      <c r="A377">
        <v>1621100521</v>
      </c>
      <c r="B377" t="s">
        <v>614</v>
      </c>
      <c r="C377" s="16" t="e">
        <f>VLOOKUP(A377,#REF!,3,FALSE)</f>
        <v>#REF!</v>
      </c>
      <c r="D377" s="338"/>
      <c r="E377" s="15">
        <f>VLOOKUP(A377,'[1]תקציב 2012 נכון להיום'!$A$2:$E$1361,5,FALSE)</f>
        <v>2950</v>
      </c>
      <c r="F377" s="15">
        <v>6000</v>
      </c>
      <c r="G377" s="15">
        <v>5799.99</v>
      </c>
      <c r="H377" s="15">
        <v>5664</v>
      </c>
    </row>
    <row r="378" spans="1:8" x14ac:dyDescent="0.15">
      <c r="A378">
        <v>1621100522</v>
      </c>
      <c r="B378" t="s">
        <v>615</v>
      </c>
      <c r="C378" s="16" t="e">
        <f>VLOOKUP(A378,#REF!,3,FALSE)</f>
        <v>#REF!</v>
      </c>
      <c r="D378" s="338"/>
      <c r="E378" s="15">
        <f>VLOOKUP(A378,'[1]תקציב 2012 נכון להיום'!$A$2:$E$1361,5,FALSE)</f>
        <v>2106.35</v>
      </c>
      <c r="F378" s="15">
        <v>8000</v>
      </c>
      <c r="G378" s="15">
        <v>1996.13</v>
      </c>
      <c r="H378" s="15">
        <v>3470.49</v>
      </c>
    </row>
    <row r="379" spans="1:8" ht="14" thickBot="1" x14ac:dyDescent="0.2">
      <c r="A379">
        <v>1621100523</v>
      </c>
      <c r="B379" t="s">
        <v>616</v>
      </c>
      <c r="C379" s="16" t="e">
        <f>VLOOKUP(A379,#REF!,3,FALSE)</f>
        <v>#REF!</v>
      </c>
      <c r="D379" s="339"/>
      <c r="E379" s="15">
        <f>VLOOKUP(A379,'[1]תקציב 2012 נכון להיום'!$A$2:$E$1361,5,FALSE)</f>
        <v>0</v>
      </c>
      <c r="F379" s="15">
        <v>3100</v>
      </c>
      <c r="G379" s="15">
        <v>0</v>
      </c>
      <c r="H379" s="15">
        <v>1600</v>
      </c>
    </row>
    <row r="380" spans="1:8" ht="14" thickBot="1" x14ac:dyDescent="0.2">
      <c r="A380">
        <v>1621100530</v>
      </c>
      <c r="B380" t="s">
        <v>617</v>
      </c>
      <c r="C380" s="16" t="e">
        <f>VLOOKUP(A380,#REF!,3,FALSE)</f>
        <v>#REF!</v>
      </c>
      <c r="E380" s="15">
        <f>VLOOKUP(A380,'[1]תקציב 2012 נכון להיום'!$A$2:$E$1361,5,FALSE)</f>
        <v>71177.89</v>
      </c>
      <c r="F380" s="15">
        <v>69000</v>
      </c>
      <c r="G380" s="15">
        <v>86702.64</v>
      </c>
      <c r="H380" s="15">
        <v>98766.32</v>
      </c>
    </row>
    <row r="381" spans="1:8" x14ac:dyDescent="0.15">
      <c r="A381">
        <v>1621100560</v>
      </c>
      <c r="B381" t="s">
        <v>618</v>
      </c>
      <c r="C381" s="16" t="e">
        <f>VLOOKUP(A381,#REF!,3,FALSE)</f>
        <v>#REF!</v>
      </c>
      <c r="D381" s="337" t="s">
        <v>1113</v>
      </c>
      <c r="E381" s="15">
        <f>VLOOKUP(A381,'[1]תקציב 2012 נכון להיום'!$A$2:$E$1361,5,FALSE)</f>
        <v>7038.09</v>
      </c>
      <c r="F381" s="15">
        <v>7500</v>
      </c>
      <c r="G381" s="15">
        <v>8142.38</v>
      </c>
      <c r="H381" s="15">
        <v>9555.92</v>
      </c>
    </row>
    <row r="382" spans="1:8" x14ac:dyDescent="0.15">
      <c r="A382">
        <v>1621100742</v>
      </c>
      <c r="B382" t="s">
        <v>619</v>
      </c>
      <c r="C382" s="16" t="e">
        <f>VLOOKUP(A382,#REF!,3,FALSE)</f>
        <v>#REF!</v>
      </c>
      <c r="D382" s="338"/>
      <c r="E382" s="15">
        <f>VLOOKUP(A382,'[1]תקציב 2012 נכון להיום'!$A$2:$E$1361,5,FALSE)</f>
        <v>0</v>
      </c>
      <c r="F382" s="15">
        <v>100</v>
      </c>
      <c r="G382" s="15">
        <v>0</v>
      </c>
      <c r="H382" s="15">
        <v>100</v>
      </c>
    </row>
    <row r="383" spans="1:8" x14ac:dyDescent="0.15">
      <c r="A383">
        <v>1621100760</v>
      </c>
      <c r="B383" t="s">
        <v>552</v>
      </c>
      <c r="C383" s="16" t="e">
        <f>VLOOKUP(A383,#REF!,3,FALSE)</f>
        <v>#REF!</v>
      </c>
      <c r="D383" s="338"/>
      <c r="E383" s="15">
        <f>VLOOKUP(A383,'[1]תקציב 2012 נכון להיום'!$A$2:$E$1361,5,FALSE)</f>
        <v>0</v>
      </c>
      <c r="F383" s="15">
        <v>17000</v>
      </c>
      <c r="G383" s="15">
        <v>15442.4</v>
      </c>
      <c r="H383" s="15">
        <v>22317.75</v>
      </c>
    </row>
    <row r="384" spans="1:8" x14ac:dyDescent="0.15">
      <c r="A384">
        <v>1621100930</v>
      </c>
      <c r="B384" t="s">
        <v>620</v>
      </c>
      <c r="C384" s="16" t="e">
        <f>VLOOKUP(A384,#REF!,3,FALSE)</f>
        <v>#REF!</v>
      </c>
      <c r="D384" s="338"/>
      <c r="E384" s="15">
        <f>VLOOKUP(A384,'[1]תקציב 2012 נכון להיום'!$A$2:$E$1361,5,FALSE)</f>
        <v>8252.1299999999992</v>
      </c>
      <c r="F384" s="15">
        <v>9000</v>
      </c>
      <c r="G384" s="15">
        <v>7250</v>
      </c>
      <c r="H384" s="15">
        <v>9373</v>
      </c>
    </row>
    <row r="385" spans="1:8" ht="14" thickBot="1" x14ac:dyDescent="0.2">
      <c r="A385">
        <v>1621100980</v>
      </c>
      <c r="B385" t="s">
        <v>621</v>
      </c>
      <c r="C385" s="16" t="e">
        <f>VLOOKUP(A385,#REF!,3,FALSE)</f>
        <v>#REF!</v>
      </c>
      <c r="D385" s="339"/>
      <c r="E385" s="15">
        <f>VLOOKUP(A385,'[1]תקציב 2012 נכון להיום'!$A$2:$E$1361,5,FALSE)</f>
        <v>10290.799999999999</v>
      </c>
      <c r="F385" s="15">
        <v>6900</v>
      </c>
      <c r="G385" s="15">
        <v>7009</v>
      </c>
      <c r="H385" s="15">
        <v>9434.5400000000009</v>
      </c>
    </row>
    <row r="386" spans="1:8" x14ac:dyDescent="0.15">
      <c r="A386">
        <v>1621300470</v>
      </c>
      <c r="B386" t="s">
        <v>622</v>
      </c>
      <c r="C386" s="16" t="e">
        <f>VLOOKUP(A386,#REF!,3,FALSE)</f>
        <v>#REF!</v>
      </c>
      <c r="E386" s="15">
        <f>VLOOKUP(A386,'[1]תקציב 2012 נכון להיום'!$A$2:$E$1361,5,FALSE)</f>
        <v>0</v>
      </c>
      <c r="F386" s="15">
        <v>2000</v>
      </c>
      <c r="G386" s="15">
        <v>0</v>
      </c>
      <c r="H386" s="15">
        <v>973.83</v>
      </c>
    </row>
    <row r="387" spans="1:8" x14ac:dyDescent="0.15">
      <c r="A387">
        <v>1621300560</v>
      </c>
      <c r="B387" t="s">
        <v>623</v>
      </c>
      <c r="C387" s="16" t="e">
        <f>VLOOKUP(A387,#REF!,3,FALSE)</f>
        <v>#REF!</v>
      </c>
      <c r="E387" s="15">
        <f>VLOOKUP(A387,'[1]תקציב 2012 נכון להיום'!$A$2:$E$1361,5,FALSE)</f>
        <v>8366.56</v>
      </c>
      <c r="F387" s="15">
        <v>9900</v>
      </c>
      <c r="G387" s="15">
        <v>6904</v>
      </c>
      <c r="H387" s="15">
        <v>7196.47</v>
      </c>
    </row>
    <row r="388" spans="1:8" x14ac:dyDescent="0.15">
      <c r="A388">
        <v>1621300570</v>
      </c>
      <c r="B388" t="s">
        <v>624</v>
      </c>
      <c r="C388" s="16" t="e">
        <f>VLOOKUP(A388,#REF!,3,FALSE)</f>
        <v>#REF!</v>
      </c>
      <c r="E388" s="15">
        <f>VLOOKUP(A388,'[1]תקציב 2012 נכון להיום'!$A$2:$E$1361,5,FALSE)</f>
        <v>70332.3</v>
      </c>
      <c r="F388" s="15">
        <v>167760</v>
      </c>
      <c r="G388" s="15">
        <v>179891.24</v>
      </c>
      <c r="H388" s="15">
        <v>167040</v>
      </c>
    </row>
    <row r="389" spans="1:8" x14ac:dyDescent="0.15">
      <c r="A389">
        <v>1621300750</v>
      </c>
      <c r="B389" t="s">
        <v>625</v>
      </c>
      <c r="C389" s="16" t="e">
        <f>VLOOKUP(A389,#REF!,3,FALSE)</f>
        <v>#REF!</v>
      </c>
      <c r="E389" s="15">
        <f>VLOOKUP(A389,'[1]תקציב 2012 נכון להיום'!$A$2:$E$1361,5,FALSE)</f>
        <v>1282215</v>
      </c>
      <c r="F389" s="15">
        <v>1695544</v>
      </c>
      <c r="G389" s="15">
        <v>1646160</v>
      </c>
      <c r="H389" s="15">
        <v>1617296</v>
      </c>
    </row>
    <row r="390" spans="1:8" x14ac:dyDescent="0.15">
      <c r="A390">
        <v>1621300780</v>
      </c>
      <c r="B390" t="s">
        <v>626</v>
      </c>
      <c r="C390" s="16" t="e">
        <f>VLOOKUP(A390,#REF!,3,FALSE)</f>
        <v>#REF!</v>
      </c>
      <c r="E390" s="15">
        <f>VLOOKUP(A390,'[1]תקציב 2012 נכון להיום'!$A$2:$E$1361,5,FALSE)</f>
        <v>13491</v>
      </c>
      <c r="F390" s="15">
        <v>17000</v>
      </c>
      <c r="G390" s="15">
        <v>12588.2</v>
      </c>
      <c r="H390" s="15">
        <v>6485.37</v>
      </c>
    </row>
    <row r="391" spans="1:8" x14ac:dyDescent="0.15">
      <c r="A391">
        <v>1621300930</v>
      </c>
      <c r="B391" t="s">
        <v>627</v>
      </c>
      <c r="C391" s="16" t="e">
        <f>VLOOKUP(A391,#REF!,3,FALSE)</f>
        <v>#REF!</v>
      </c>
      <c r="E391" s="15">
        <f>VLOOKUP(A391,'[1]תקציב 2012 נכון להיום'!$A$2:$E$1361,5,FALSE)</f>
        <v>12591</v>
      </c>
      <c r="F391" s="15">
        <v>15000</v>
      </c>
      <c r="G391" s="15">
        <v>14265.93</v>
      </c>
      <c r="H391" s="15">
        <v>4594</v>
      </c>
    </row>
    <row r="392" spans="1:8" x14ac:dyDescent="0.15">
      <c r="A392">
        <v>1621500521</v>
      </c>
      <c r="B392" t="s">
        <v>628</v>
      </c>
      <c r="C392" s="16" t="e">
        <f>VLOOKUP(A392,#REF!,3,FALSE)</f>
        <v>#REF!</v>
      </c>
      <c r="E392" s="15">
        <f>VLOOKUP(A392,'[1]תקציב 2012 נכון להיום'!$A$2:$E$1361,5,FALSE)</f>
        <v>1000</v>
      </c>
      <c r="F392" s="15">
        <v>4500</v>
      </c>
      <c r="G392" s="15">
        <v>0</v>
      </c>
      <c r="H392" s="15">
        <v>0</v>
      </c>
    </row>
    <row r="393" spans="1:8" ht="14" thickBot="1" x14ac:dyDescent="0.2">
      <c r="A393">
        <v>1621500540</v>
      </c>
      <c r="B393" t="s">
        <v>629</v>
      </c>
      <c r="C393" s="16" t="e">
        <f>VLOOKUP(A393,#REF!,3,FALSE)</f>
        <v>#REF!</v>
      </c>
      <c r="E393" s="15">
        <f>VLOOKUP(A393,'[1]תקציב 2012 נכון להיום'!$A$2:$E$1361,5,FALSE)</f>
        <v>0</v>
      </c>
      <c r="F393" s="15">
        <v>10000</v>
      </c>
      <c r="G393" s="15">
        <v>6000</v>
      </c>
      <c r="H393" s="15">
        <v>8.5399999999999991</v>
      </c>
    </row>
    <row r="394" spans="1:8" x14ac:dyDescent="0.15">
      <c r="A394">
        <v>1621500560</v>
      </c>
      <c r="B394" t="s">
        <v>630</v>
      </c>
      <c r="C394" s="16" t="e">
        <f>VLOOKUP(A394,#REF!,3,FALSE)</f>
        <v>#REF!</v>
      </c>
      <c r="D394" s="337" t="s">
        <v>1114</v>
      </c>
      <c r="E394" s="15">
        <f>VLOOKUP(A394,'[1]תקציב 2012 נכון להיום'!$A$2:$E$1361,5,FALSE)</f>
        <v>945.86</v>
      </c>
      <c r="F394" s="15">
        <v>900</v>
      </c>
      <c r="G394" s="15">
        <v>967.76</v>
      </c>
      <c r="H394" s="15">
        <v>917</v>
      </c>
    </row>
    <row r="395" spans="1:8" x14ac:dyDescent="0.15">
      <c r="A395">
        <v>1621500570</v>
      </c>
      <c r="B395" t="s">
        <v>631</v>
      </c>
      <c r="C395" s="16" t="e">
        <f>VLOOKUP(A395,#REF!,3,FALSE)</f>
        <v>#REF!</v>
      </c>
      <c r="D395" s="338"/>
      <c r="E395" s="15">
        <f>VLOOKUP(A395,'[1]תקציב 2012 נכון להיום'!$A$2:$E$1361,5,FALSE)</f>
        <v>160442.76</v>
      </c>
      <c r="F395" s="15">
        <v>167760</v>
      </c>
      <c r="G395" s="15">
        <v>220066.58</v>
      </c>
      <c r="H395" s="15">
        <v>210217.42</v>
      </c>
    </row>
    <row r="396" spans="1:8" x14ac:dyDescent="0.15">
      <c r="A396">
        <v>1621500780</v>
      </c>
      <c r="B396" t="s">
        <v>632</v>
      </c>
      <c r="C396" s="16" t="e">
        <f>VLOOKUP(A396,#REF!,3,FALSE)</f>
        <v>#REF!</v>
      </c>
      <c r="D396" s="338"/>
      <c r="E396" s="15">
        <f>VLOOKUP(A396,'[1]תקציב 2012 נכון להיום'!$A$2:$E$1361,5,FALSE)</f>
        <v>3219</v>
      </c>
      <c r="F396" s="15">
        <v>2400</v>
      </c>
      <c r="G396" s="15">
        <v>1508.58</v>
      </c>
      <c r="H396" s="15">
        <v>1708.67</v>
      </c>
    </row>
    <row r="397" spans="1:8" ht="14" thickBot="1" x14ac:dyDescent="0.2">
      <c r="A397">
        <v>1621500930</v>
      </c>
      <c r="B397" t="s">
        <v>633</v>
      </c>
      <c r="C397" s="16" t="e">
        <f>VLOOKUP(A397,#REF!,3,FALSE)</f>
        <v>#REF!</v>
      </c>
      <c r="D397" s="339"/>
      <c r="E397" s="15">
        <f>VLOOKUP(A397,'[1]תקציב 2012 נכון להיום'!$A$2:$E$1361,5,FALSE)</f>
        <v>1723.18</v>
      </c>
      <c r="F397" s="15">
        <v>7000</v>
      </c>
      <c r="G397" s="15">
        <v>1589.4</v>
      </c>
      <c r="H397" s="15">
        <v>2051.96</v>
      </c>
    </row>
    <row r="398" spans="1:8" x14ac:dyDescent="0.15">
      <c r="A398">
        <v>1623000440</v>
      </c>
      <c r="B398" t="s">
        <v>634</v>
      </c>
      <c r="C398" s="16" t="e">
        <f>VLOOKUP(A398,#REF!,3,FALSE)</f>
        <v>#REF!</v>
      </c>
      <c r="D398" s="337" t="s">
        <v>1111</v>
      </c>
      <c r="E398" s="15">
        <f>VLOOKUP(A398,'[1]תקציב 2012 נכון להיום'!$A$2:$E$1361,5,FALSE)</f>
        <v>1260</v>
      </c>
      <c r="F398" s="15">
        <v>1600</v>
      </c>
      <c r="G398" s="15">
        <v>1677.05</v>
      </c>
      <c r="H398" s="15">
        <v>1078.3</v>
      </c>
    </row>
    <row r="399" spans="1:8" x14ac:dyDescent="0.15">
      <c r="A399">
        <v>1623000521</v>
      </c>
      <c r="B399" t="s">
        <v>635</v>
      </c>
      <c r="C399" s="16" t="e">
        <f>VLOOKUP(A399,#REF!,3,FALSE)</f>
        <v>#REF!</v>
      </c>
      <c r="D399" s="338"/>
      <c r="E399" s="15">
        <f>VLOOKUP(A399,'[1]תקציב 2012 נכון להיום'!$A$2:$E$1361,5,FALSE)</f>
        <v>0</v>
      </c>
      <c r="F399" s="15">
        <v>2400</v>
      </c>
      <c r="G399" s="15">
        <v>2420</v>
      </c>
      <c r="H399" s="15">
        <v>0</v>
      </c>
    </row>
    <row r="400" spans="1:8" x14ac:dyDescent="0.15">
      <c r="A400">
        <v>1623000560</v>
      </c>
      <c r="B400" t="s">
        <v>637</v>
      </c>
      <c r="C400" s="16" t="e">
        <f>VLOOKUP(A400,#REF!,3,FALSE)</f>
        <v>#REF!</v>
      </c>
      <c r="D400" s="338"/>
      <c r="E400" s="15">
        <f>VLOOKUP(A400,'[1]תקציב 2012 נכון להיום'!$A$2:$E$1361,5,FALSE)</f>
        <v>9066</v>
      </c>
      <c r="F400" s="15">
        <v>2500</v>
      </c>
      <c r="G400" s="15">
        <v>3969.5</v>
      </c>
      <c r="H400" s="15">
        <v>4669.09</v>
      </c>
    </row>
    <row r="401" spans="1:8" x14ac:dyDescent="0.15">
      <c r="A401">
        <v>1623000570</v>
      </c>
      <c r="B401" t="s">
        <v>638</v>
      </c>
      <c r="C401" s="16" t="e">
        <f>VLOOKUP(A401,#REF!,3,FALSE)</f>
        <v>#REF!</v>
      </c>
      <c r="D401" s="338"/>
      <c r="E401" s="15">
        <f>VLOOKUP(A401,'[1]תקציב 2012 נכון להיום'!$A$2:$E$1361,5,FALSE)</f>
        <v>153435.06</v>
      </c>
      <c r="F401" s="15">
        <v>280000</v>
      </c>
      <c r="G401" s="15">
        <v>314871.05</v>
      </c>
      <c r="H401" s="15">
        <v>356621.43</v>
      </c>
    </row>
    <row r="402" spans="1:8" x14ac:dyDescent="0.15">
      <c r="A402">
        <v>1623000580</v>
      </c>
      <c r="B402" t="s">
        <v>639</v>
      </c>
      <c r="C402" s="16" t="e">
        <f>VLOOKUP(A402,#REF!,3,FALSE)</f>
        <v>#REF!</v>
      </c>
      <c r="D402" s="338"/>
      <c r="E402" s="15">
        <f>VLOOKUP(A402,'[1]תקציב 2012 נכון להיום'!$A$2:$E$1361,5,FALSE)</f>
        <v>22785.57</v>
      </c>
      <c r="F402" s="15">
        <v>8000</v>
      </c>
      <c r="G402" s="15">
        <v>320344.92</v>
      </c>
      <c r="H402" s="15">
        <v>2319.1</v>
      </c>
    </row>
    <row r="403" spans="1:8" x14ac:dyDescent="0.15">
      <c r="A403">
        <v>1623000750</v>
      </c>
      <c r="B403" t="s">
        <v>640</v>
      </c>
      <c r="C403" s="16" t="e">
        <f>VLOOKUP(A403,#REF!,3,FALSE)</f>
        <v>#REF!</v>
      </c>
      <c r="D403" s="338"/>
      <c r="E403" s="15">
        <f>VLOOKUP(A403,'[1]תקציב 2012 נכון להיום'!$A$2:$E$1361,5,FALSE)</f>
        <v>1511355.65</v>
      </c>
      <c r="F403" s="15">
        <v>2800000</v>
      </c>
      <c r="G403" s="15">
        <v>4258825.8099999996</v>
      </c>
      <c r="H403" s="15">
        <v>5926096.9299999997</v>
      </c>
    </row>
    <row r="404" spans="1:8" x14ac:dyDescent="0.15">
      <c r="A404">
        <v>1623000751</v>
      </c>
      <c r="B404" t="s">
        <v>641</v>
      </c>
      <c r="C404" s="16" t="e">
        <f>VLOOKUP(A404,#REF!,3,FALSE)</f>
        <v>#REF!</v>
      </c>
      <c r="D404" s="338"/>
      <c r="E404" s="15">
        <f>VLOOKUP(A404,'[1]תקציב 2012 נכון להיום'!$A$2:$E$1361,5,FALSE)</f>
        <v>0</v>
      </c>
      <c r="F404" s="15">
        <v>30000</v>
      </c>
      <c r="G404" s="15">
        <v>0</v>
      </c>
      <c r="H404" s="15">
        <v>9885.4599999999991</v>
      </c>
    </row>
    <row r="405" spans="1:8" x14ac:dyDescent="0.15">
      <c r="A405">
        <v>1623000780</v>
      </c>
      <c r="B405" t="s">
        <v>642</v>
      </c>
      <c r="C405" s="16" t="e">
        <f>VLOOKUP(A405,#REF!,3,FALSE)</f>
        <v>#REF!</v>
      </c>
      <c r="D405" s="338"/>
      <c r="E405" s="15">
        <f>VLOOKUP(A405,'[1]תקציב 2012 נכון להיום'!$A$2:$E$1361,5,FALSE)</f>
        <v>65435</v>
      </c>
      <c r="F405" s="15">
        <v>76000</v>
      </c>
      <c r="G405" s="15">
        <v>15870.37</v>
      </c>
      <c r="H405" s="15">
        <v>23400</v>
      </c>
    </row>
    <row r="406" spans="1:8" ht="14" thickBot="1" x14ac:dyDescent="0.2">
      <c r="A406">
        <v>1623000930</v>
      </c>
      <c r="B406" t="s">
        <v>643</v>
      </c>
      <c r="C406" s="16" t="e">
        <f>VLOOKUP(A406,#REF!,3,FALSE)</f>
        <v>#REF!</v>
      </c>
      <c r="D406" s="339"/>
      <c r="E406" s="15">
        <f>VLOOKUP(A406,'[1]תקציב 2012 נכון להיום'!$A$2:$E$1361,5,FALSE)</f>
        <v>0</v>
      </c>
      <c r="F406" s="15">
        <v>4000</v>
      </c>
      <c r="G406" s="15">
        <v>3652</v>
      </c>
      <c r="H406" s="15">
        <v>0</v>
      </c>
    </row>
    <row r="407" spans="1:8" x14ac:dyDescent="0.15">
      <c r="A407">
        <v>1711000511</v>
      </c>
      <c r="B407" t="s">
        <v>644</v>
      </c>
      <c r="C407" s="16" t="e">
        <f>VLOOKUP(A407,#REF!,3,FALSE)</f>
        <v>#REF!</v>
      </c>
      <c r="E407" s="15">
        <f>VLOOKUP(A407,'[1]תקציב 2012 נכון להיום'!$A$2:$E$1361,5,FALSE)</f>
        <v>800</v>
      </c>
      <c r="F407" s="15">
        <v>1800</v>
      </c>
      <c r="G407" s="15">
        <v>0</v>
      </c>
      <c r="H407" s="15">
        <v>0</v>
      </c>
    </row>
    <row r="408" spans="1:8" x14ac:dyDescent="0.15">
      <c r="A408">
        <v>1711000512</v>
      </c>
      <c r="B408" t="s">
        <v>645</v>
      </c>
      <c r="C408" s="16" t="e">
        <f>VLOOKUP(A408,#REF!,3,FALSE)</f>
        <v>#REF!</v>
      </c>
      <c r="E408" s="15">
        <f>VLOOKUP(A408,'[1]תקציב 2012 נכון להיום'!$A$2:$E$1361,5,FALSE)</f>
        <v>0</v>
      </c>
      <c r="F408" s="15">
        <v>1500</v>
      </c>
      <c r="G408" s="15">
        <v>0</v>
      </c>
      <c r="H408" s="15">
        <v>0</v>
      </c>
    </row>
    <row r="409" spans="1:8" x14ac:dyDescent="0.15">
      <c r="A409">
        <v>1711000521</v>
      </c>
      <c r="B409" t="s">
        <v>646</v>
      </c>
      <c r="C409" s="16" t="e">
        <f>VLOOKUP(A409,#REF!,3,FALSE)</f>
        <v>#REF!</v>
      </c>
      <c r="E409" s="15">
        <f>VLOOKUP(A409,'[1]תקציב 2012 נכון להיום'!$A$2:$E$1361,5,FALSE)</f>
        <v>1698</v>
      </c>
      <c r="F409" s="15">
        <v>2600</v>
      </c>
      <c r="G409" s="15">
        <v>1919.99</v>
      </c>
      <c r="H409" s="15">
        <v>2120</v>
      </c>
    </row>
    <row r="410" spans="1:8" x14ac:dyDescent="0.15">
      <c r="A410">
        <v>1711000560</v>
      </c>
      <c r="B410" t="s">
        <v>647</v>
      </c>
      <c r="C410" s="16" t="e">
        <f>VLOOKUP(A410,#REF!,3,FALSE)</f>
        <v>#REF!</v>
      </c>
      <c r="E410" s="15">
        <f>VLOOKUP(A410,'[1]תקציב 2012 נכון להיום'!$A$2:$E$1361,5,FALSE)</f>
        <v>1433.32</v>
      </c>
      <c r="F410" s="15">
        <v>3700</v>
      </c>
      <c r="G410" s="15">
        <v>5350.83</v>
      </c>
      <c r="H410" s="15">
        <v>3994.34</v>
      </c>
    </row>
    <row r="411" spans="1:8" x14ac:dyDescent="0.15">
      <c r="A411">
        <v>1711000580</v>
      </c>
      <c r="B411" t="s">
        <v>648</v>
      </c>
      <c r="C411" s="16" t="e">
        <f>VLOOKUP(A411,#REF!,3,FALSE)</f>
        <v>#REF!</v>
      </c>
      <c r="E411" s="15">
        <f>VLOOKUP(A411,'[1]תקציב 2012 נכון להיום'!$A$2:$E$1361,5,FALSE)</f>
        <v>2980</v>
      </c>
      <c r="F411" s="15">
        <v>1000</v>
      </c>
      <c r="G411" s="15">
        <v>2000</v>
      </c>
      <c r="H411" s="15">
        <v>837</v>
      </c>
    </row>
    <row r="412" spans="1:8" x14ac:dyDescent="0.15">
      <c r="A412">
        <v>1711000731</v>
      </c>
      <c r="B412" t="s">
        <v>649</v>
      </c>
      <c r="C412" s="16" t="e">
        <f>VLOOKUP(A412,#REF!,3,FALSE)</f>
        <v>#REF!</v>
      </c>
      <c r="E412" s="15">
        <f>VLOOKUP(A412,'[1]תקציב 2012 נכון להיום'!$A$2:$E$1361,5,FALSE)</f>
        <v>14127.66</v>
      </c>
      <c r="F412" s="15">
        <v>45000</v>
      </c>
      <c r="G412" s="15">
        <v>47117.2</v>
      </c>
      <c r="H412" s="15">
        <v>42054.11</v>
      </c>
    </row>
    <row r="413" spans="1:8" x14ac:dyDescent="0.15">
      <c r="A413">
        <v>1711000760</v>
      </c>
      <c r="B413" t="s">
        <v>552</v>
      </c>
      <c r="C413" s="16" t="e">
        <f>VLOOKUP(A413,#REF!,3,FALSE)</f>
        <v>#REF!</v>
      </c>
      <c r="E413" s="15">
        <f>VLOOKUP(A413,'[1]תקציב 2012 נכון להיום'!$A$2:$E$1361,5,FALSE)</f>
        <v>10728.1</v>
      </c>
      <c r="F413" s="15">
        <v>16000</v>
      </c>
      <c r="G413" s="15">
        <v>9997.39</v>
      </c>
      <c r="H413" s="15">
        <v>11652.78</v>
      </c>
    </row>
    <row r="414" spans="1:8" x14ac:dyDescent="0.15">
      <c r="A414">
        <v>1711000780</v>
      </c>
      <c r="B414" t="s">
        <v>650</v>
      </c>
      <c r="C414" s="16" t="e">
        <f>VLOOKUP(A414,#REF!,3,FALSE)</f>
        <v>#REF!</v>
      </c>
      <c r="E414" s="15">
        <f>VLOOKUP(A414,'[1]תקציב 2012 נכון להיום'!$A$2:$E$1361,5,FALSE)</f>
        <v>564</v>
      </c>
      <c r="F414" s="15">
        <v>1600</v>
      </c>
      <c r="G414" s="15">
        <v>3690.22</v>
      </c>
      <c r="H414" s="15">
        <v>1591.5</v>
      </c>
    </row>
    <row r="415" spans="1:8" x14ac:dyDescent="0.15">
      <c r="A415">
        <v>1711000930</v>
      </c>
      <c r="B415" t="s">
        <v>651</v>
      </c>
      <c r="C415" s="16" t="e">
        <f>VLOOKUP(A415,#REF!,3,FALSE)</f>
        <v>#REF!</v>
      </c>
      <c r="E415" s="15">
        <f>VLOOKUP(A415,'[1]תקציב 2012 נכון להיום'!$A$2:$E$1361,5,FALSE)</f>
        <v>9500</v>
      </c>
      <c r="F415" s="15">
        <v>9500</v>
      </c>
      <c r="G415" s="15">
        <v>9559.07</v>
      </c>
      <c r="H415" s="15">
        <v>6084</v>
      </c>
    </row>
    <row r="416" spans="1:8" x14ac:dyDescent="0.15">
      <c r="A416">
        <v>1711100980</v>
      </c>
      <c r="B416" t="s">
        <v>652</v>
      </c>
      <c r="C416" s="16" t="e">
        <f>VLOOKUP(A416,#REF!,3,FALSE)</f>
        <v>#REF!</v>
      </c>
      <c r="E416" s="15">
        <f>VLOOKUP(A416,'[1]תקציב 2012 נכון להיום'!$A$2:$E$1361,5,FALSE)</f>
        <v>49383</v>
      </c>
      <c r="F416" s="15">
        <v>104818</v>
      </c>
      <c r="G416" s="15">
        <v>118293.97</v>
      </c>
      <c r="H416" s="15">
        <v>376195.48</v>
      </c>
    </row>
    <row r="417" spans="1:8" x14ac:dyDescent="0.15">
      <c r="A417">
        <v>1712200731</v>
      </c>
      <c r="B417" t="s">
        <v>653</v>
      </c>
      <c r="C417" s="16" t="e">
        <f>VLOOKUP(A417,#REF!,3,FALSE)</f>
        <v>#REF!</v>
      </c>
      <c r="E417" s="15">
        <f>VLOOKUP(A417,'[1]תקציב 2012 נכון להיום'!$A$2:$E$1361,5,FALSE)</f>
        <v>4803.09</v>
      </c>
      <c r="F417" s="15">
        <v>0</v>
      </c>
      <c r="G417" s="15">
        <v>12006.15</v>
      </c>
      <c r="H417" s="15">
        <v>14515.55</v>
      </c>
    </row>
    <row r="418" spans="1:8" x14ac:dyDescent="0.15">
      <c r="A418">
        <v>1712200740</v>
      </c>
      <c r="B418" t="s">
        <v>654</v>
      </c>
      <c r="C418" s="16" t="e">
        <f>VLOOKUP(A418,#REF!,3,FALSE)</f>
        <v>#REF!</v>
      </c>
      <c r="E418" s="15">
        <f>VLOOKUP(A418,'[1]תקציב 2012 נכון להיום'!$A$2:$E$1361,5,FALSE)</f>
        <v>10000</v>
      </c>
      <c r="F418" s="15">
        <v>10000</v>
      </c>
      <c r="G418" s="15">
        <v>9430</v>
      </c>
      <c r="H418" s="15">
        <v>10000</v>
      </c>
    </row>
    <row r="419" spans="1:8" x14ac:dyDescent="0.15">
      <c r="A419">
        <v>1712200750</v>
      </c>
      <c r="B419" t="s">
        <v>655</v>
      </c>
      <c r="C419" s="16" t="e">
        <f>VLOOKUP(A419,#REF!,3,FALSE)</f>
        <v>#REF!</v>
      </c>
      <c r="E419" s="15">
        <f>VLOOKUP(A419,'[1]תקציב 2012 נכון להיום'!$A$2:$E$1361,5,FALSE)</f>
        <v>262500</v>
      </c>
      <c r="F419" s="15">
        <v>450000</v>
      </c>
      <c r="G419" s="15">
        <v>500000</v>
      </c>
      <c r="H419" s="15">
        <v>397913</v>
      </c>
    </row>
    <row r="420" spans="1:8" x14ac:dyDescent="0.15">
      <c r="A420">
        <v>1712200751</v>
      </c>
      <c r="B420" t="s">
        <v>656</v>
      </c>
      <c r="C420" s="16" t="e">
        <f>VLOOKUP(A420,#REF!,3,FALSE)</f>
        <v>#REF!</v>
      </c>
      <c r="E420" s="15">
        <f>VLOOKUP(A420,'[1]תקציב 2012 נכון להיום'!$A$2:$E$1361,5,FALSE)</f>
        <v>3462395</v>
      </c>
      <c r="F420" s="15">
        <v>5452000</v>
      </c>
      <c r="G420" s="15">
        <v>5373285</v>
      </c>
      <c r="H420" s="15">
        <v>5137565</v>
      </c>
    </row>
    <row r="421" spans="1:8" x14ac:dyDescent="0.15">
      <c r="A421">
        <v>1712200752</v>
      </c>
      <c r="B421" t="s">
        <v>657</v>
      </c>
      <c r="C421" s="16" t="e">
        <f>VLOOKUP(A421,#REF!,3,FALSE)</f>
        <v>#REF!</v>
      </c>
      <c r="E421" s="15">
        <f>VLOOKUP(A421,'[1]תקציב 2012 נכון להיום'!$A$2:$E$1361,5,FALSE)</f>
        <v>51330</v>
      </c>
      <c r="F421" s="15">
        <v>60000</v>
      </c>
      <c r="G421" s="15">
        <v>52154</v>
      </c>
      <c r="H421" s="15">
        <v>163290</v>
      </c>
    </row>
    <row r="422" spans="1:8" x14ac:dyDescent="0.15">
      <c r="A422">
        <v>1712200753</v>
      </c>
      <c r="B422" t="s">
        <v>658</v>
      </c>
      <c r="C422" s="16" t="e">
        <f>VLOOKUP(A422,#REF!,3,FALSE)</f>
        <v>#REF!</v>
      </c>
      <c r="E422" s="15">
        <f>VLOOKUP(A422,'[1]תקציב 2012 נכון להיום'!$A$2:$E$1361,5,FALSE)</f>
        <v>7388.59</v>
      </c>
      <c r="F422" s="15">
        <v>8500</v>
      </c>
      <c r="G422" s="15">
        <v>8113.37</v>
      </c>
      <c r="H422" s="15">
        <v>13011.8</v>
      </c>
    </row>
    <row r="423" spans="1:8" x14ac:dyDescent="0.15">
      <c r="A423">
        <v>1712201731</v>
      </c>
      <c r="B423" t="s">
        <v>659</v>
      </c>
      <c r="C423" s="16" t="e">
        <f>VLOOKUP(A423,#REF!,3,FALSE)</f>
        <v>#REF!</v>
      </c>
      <c r="E423" s="15">
        <f>VLOOKUP(A423,'[1]תקציב 2012 נכון להיום'!$A$2:$E$1361,5,FALSE)</f>
        <v>5441.6</v>
      </c>
      <c r="F423" s="15">
        <v>7500</v>
      </c>
      <c r="G423" s="15">
        <v>16928</v>
      </c>
      <c r="H423" s="15">
        <v>11516.82</v>
      </c>
    </row>
    <row r="424" spans="1:8" x14ac:dyDescent="0.15">
      <c r="A424">
        <v>1712202731</v>
      </c>
      <c r="B424" t="s">
        <v>660</v>
      </c>
      <c r="C424" s="16" t="e">
        <f>VLOOKUP(A424,#REF!,3,FALSE)</f>
        <v>#REF!</v>
      </c>
      <c r="E424" s="15">
        <f>VLOOKUP(A424,'[1]תקציב 2012 נכון להיום'!$A$2:$E$1361,5,FALSE)</f>
        <v>4374.59</v>
      </c>
      <c r="F424" s="15">
        <v>7000</v>
      </c>
      <c r="G424" s="15">
        <v>20859.34</v>
      </c>
      <c r="H424" s="15">
        <v>12916.19</v>
      </c>
    </row>
    <row r="425" spans="1:8" x14ac:dyDescent="0.15">
      <c r="A425">
        <v>1712203731</v>
      </c>
      <c r="B425" t="s">
        <v>661</v>
      </c>
      <c r="C425" s="16" t="e">
        <f>VLOOKUP(A425,#REF!,3,FALSE)</f>
        <v>#REF!</v>
      </c>
      <c r="E425" s="15">
        <f>VLOOKUP(A425,'[1]תקציב 2012 נכון להיום'!$A$2:$E$1361,5,FALSE)</f>
        <v>4213.92</v>
      </c>
      <c r="F425" s="15">
        <v>0</v>
      </c>
      <c r="G425" s="15">
        <v>19814.89</v>
      </c>
      <c r="H425" s="15">
        <v>12517.36</v>
      </c>
    </row>
    <row r="426" spans="1:8" x14ac:dyDescent="0.15">
      <c r="A426">
        <v>1712204731</v>
      </c>
      <c r="B426" t="s">
        <v>662</v>
      </c>
      <c r="C426" s="16" t="e">
        <f>VLOOKUP(A426,#REF!,3,FALSE)</f>
        <v>#REF!</v>
      </c>
      <c r="E426" s="15">
        <f>VLOOKUP(A426,'[1]תקציב 2012 נכון להיום'!$A$2:$E$1361,5,FALSE)</f>
        <v>3921.54</v>
      </c>
      <c r="F426" s="15">
        <v>0</v>
      </c>
      <c r="G426" s="15">
        <v>12187.59</v>
      </c>
      <c r="H426" s="15">
        <v>11503.44</v>
      </c>
    </row>
    <row r="427" spans="1:8" x14ac:dyDescent="0.15">
      <c r="A427">
        <v>1712300430</v>
      </c>
      <c r="B427" t="s">
        <v>663</v>
      </c>
      <c r="C427" s="16" t="e">
        <f>VLOOKUP(A427,#REF!,3,FALSE)</f>
        <v>#REF!</v>
      </c>
      <c r="E427" s="15">
        <f>VLOOKUP(A427,'[1]תקציב 2012 נכון להיום'!$A$2:$E$1361,5,FALSE)</f>
        <v>0</v>
      </c>
      <c r="F427" s="15">
        <v>10000</v>
      </c>
      <c r="G427" s="15">
        <v>0</v>
      </c>
      <c r="H427" s="15">
        <v>3017.6</v>
      </c>
    </row>
    <row r="428" spans="1:8" x14ac:dyDescent="0.15">
      <c r="A428">
        <v>1712300560</v>
      </c>
      <c r="B428" t="s">
        <v>664</v>
      </c>
      <c r="C428" s="16" t="e">
        <f>VLOOKUP(A428,#REF!,3,FALSE)</f>
        <v>#REF!</v>
      </c>
      <c r="E428" s="15">
        <f>VLOOKUP(A428,'[1]תקציב 2012 נכון להיום'!$A$2:$E$1361,5,FALSE)</f>
        <v>1028.8</v>
      </c>
      <c r="F428" s="15">
        <v>2000</v>
      </c>
      <c r="G428" s="15">
        <v>0</v>
      </c>
      <c r="H428" s="15">
        <v>0</v>
      </c>
    </row>
    <row r="429" spans="1:8" x14ac:dyDescent="0.15">
      <c r="A429">
        <v>1712300740</v>
      </c>
      <c r="B429" t="s">
        <v>665</v>
      </c>
      <c r="C429" s="16" t="e">
        <f>VLOOKUP(A429,#REF!,3,FALSE)</f>
        <v>#REF!</v>
      </c>
      <c r="E429" s="15">
        <f>VLOOKUP(A429,'[1]תקציב 2012 נכון להיום'!$A$2:$E$1361,5,FALSE)</f>
        <v>348</v>
      </c>
      <c r="F429" s="15">
        <v>3500</v>
      </c>
      <c r="G429" s="15">
        <v>2668.77</v>
      </c>
      <c r="H429" s="15">
        <v>4539.5200000000004</v>
      </c>
    </row>
    <row r="430" spans="1:8" x14ac:dyDescent="0.15">
      <c r="A430">
        <v>1712300750</v>
      </c>
      <c r="B430" s="59" t="s">
        <v>666</v>
      </c>
      <c r="C430" s="16" t="e">
        <f>VLOOKUP(A430,#REF!,3,FALSE)</f>
        <v>#REF!</v>
      </c>
      <c r="E430" s="15">
        <f>VLOOKUP(A430,'[1]תקציב 2012 נכון להיום'!$A$2:$E$1361,5,FALSE)</f>
        <v>4817618</v>
      </c>
      <c r="F430" s="15">
        <v>5450000</v>
      </c>
      <c r="G430" s="15">
        <v>5400163</v>
      </c>
      <c r="H430" s="15">
        <v>4777076</v>
      </c>
    </row>
    <row r="431" spans="1:8" x14ac:dyDescent="0.15">
      <c r="A431">
        <v>1712300751</v>
      </c>
      <c r="B431" t="s">
        <v>667</v>
      </c>
      <c r="C431" s="16" t="e">
        <f>VLOOKUP(A431,#REF!,3,FALSE)</f>
        <v>#REF!</v>
      </c>
      <c r="E431" s="15">
        <f>VLOOKUP(A431,'[1]תקציב 2012 נכון להיום'!$A$2:$E$1361,5,FALSE)</f>
        <v>1398971</v>
      </c>
      <c r="F431" s="15">
        <v>1850000</v>
      </c>
      <c r="G431" s="15">
        <v>2007473.54</v>
      </c>
      <c r="H431" s="15">
        <v>1903238.53</v>
      </c>
    </row>
    <row r="432" spans="1:8" x14ac:dyDescent="0.15">
      <c r="A432">
        <v>1712300752</v>
      </c>
      <c r="B432" t="s">
        <v>668</v>
      </c>
      <c r="C432" s="16" t="e">
        <f>VLOOKUP(A432,#REF!,3,FALSE)</f>
        <v>#REF!</v>
      </c>
      <c r="E432" s="15">
        <f>VLOOKUP(A432,'[1]תקציב 2012 נכון להיום'!$A$2:$E$1361,5,FALSE)</f>
        <v>261752</v>
      </c>
      <c r="F432" s="15">
        <v>255000</v>
      </c>
      <c r="G432" s="15">
        <v>295794</v>
      </c>
      <c r="H432" s="15">
        <v>279877</v>
      </c>
    </row>
    <row r="433" spans="1:8" x14ac:dyDescent="0.15">
      <c r="A433">
        <v>1712300753</v>
      </c>
      <c r="B433" t="s">
        <v>669</v>
      </c>
      <c r="C433" s="16" t="e">
        <f>VLOOKUP(A433,#REF!,3,FALSE)</f>
        <v>#REF!</v>
      </c>
      <c r="E433" s="15">
        <f>VLOOKUP(A433,'[1]תקציב 2012 נכון להיום'!$A$2:$E$1361,5,FALSE)</f>
        <v>725236.04</v>
      </c>
      <c r="F433" s="15">
        <v>900000</v>
      </c>
      <c r="G433" s="15">
        <v>948564</v>
      </c>
      <c r="H433" s="15">
        <v>1095647</v>
      </c>
    </row>
    <row r="434" spans="1:8" x14ac:dyDescent="0.15">
      <c r="A434">
        <v>1712300754</v>
      </c>
      <c r="B434" t="s">
        <v>670</v>
      </c>
      <c r="C434" s="16" t="e">
        <f>VLOOKUP(A434,#REF!,3,FALSE)</f>
        <v>#REF!</v>
      </c>
      <c r="E434" s="15">
        <f>VLOOKUP(A434,'[1]תקציב 2012 נכון להיום'!$A$2:$E$1361,5,FALSE)</f>
        <v>124757</v>
      </c>
      <c r="F434" s="15">
        <v>210000</v>
      </c>
      <c r="G434" s="15">
        <v>181057</v>
      </c>
      <c r="H434" s="15">
        <v>200000</v>
      </c>
    </row>
    <row r="435" spans="1:8" x14ac:dyDescent="0.15">
      <c r="A435">
        <v>1712300755</v>
      </c>
      <c r="B435" t="s">
        <v>671</v>
      </c>
      <c r="C435" s="16" t="e">
        <f>VLOOKUP(A435,#REF!,3,FALSE)</f>
        <v>#REF!</v>
      </c>
      <c r="E435" s="15">
        <f>VLOOKUP(A435,'[1]תקציב 2012 נכון להיום'!$A$2:$E$1361,5,FALSE)</f>
        <v>46558</v>
      </c>
      <c r="F435" s="15">
        <v>80000</v>
      </c>
      <c r="G435" s="15">
        <v>73222</v>
      </c>
      <c r="H435" s="15">
        <v>77397</v>
      </c>
    </row>
    <row r="436" spans="1:8" x14ac:dyDescent="0.15">
      <c r="A436">
        <v>1712303731</v>
      </c>
      <c r="B436" t="s">
        <v>672</v>
      </c>
      <c r="C436" s="16" t="e">
        <f>VLOOKUP(A436,#REF!,3,FALSE)</f>
        <v>#REF!</v>
      </c>
      <c r="E436" s="15">
        <f>VLOOKUP(A436,'[1]תקציב 2012 נכון להיום'!$A$2:$E$1361,5,FALSE)</f>
        <v>24923.8</v>
      </c>
      <c r="F436" s="15">
        <v>45000</v>
      </c>
      <c r="G436" s="15">
        <v>36119.83</v>
      </c>
      <c r="H436" s="15">
        <v>41909.620000000003</v>
      </c>
    </row>
    <row r="437" spans="1:8" x14ac:dyDescent="0.15">
      <c r="A437">
        <v>1712304731</v>
      </c>
      <c r="B437" t="s">
        <v>673</v>
      </c>
      <c r="C437" s="16" t="e">
        <f>VLOOKUP(A437,#REF!,3,FALSE)</f>
        <v>#REF!</v>
      </c>
      <c r="E437" s="15">
        <f>VLOOKUP(A437,'[1]תקציב 2012 נכון להיום'!$A$2:$E$1361,5,FALSE)</f>
        <v>227618.24</v>
      </c>
      <c r="F437" s="15">
        <v>215000</v>
      </c>
      <c r="G437" s="15">
        <v>241352.06</v>
      </c>
      <c r="H437" s="15">
        <v>178005.57</v>
      </c>
    </row>
    <row r="438" spans="1:8" x14ac:dyDescent="0.15">
      <c r="A438">
        <v>1712305731</v>
      </c>
      <c r="B438" t="s">
        <v>674</v>
      </c>
      <c r="C438" s="16" t="e">
        <f>VLOOKUP(A438,#REF!,3,FALSE)</f>
        <v>#REF!</v>
      </c>
      <c r="E438" s="15">
        <f>VLOOKUP(A438,'[1]תקציב 2012 נכון להיום'!$A$2:$E$1361,5,FALSE)</f>
        <v>9195.8700000000008</v>
      </c>
      <c r="F438" s="15">
        <v>10000</v>
      </c>
      <c r="G438" s="15">
        <v>12909.11</v>
      </c>
      <c r="H438" s="15">
        <v>18292.060000000001</v>
      </c>
    </row>
    <row r="439" spans="1:8" x14ac:dyDescent="0.15">
      <c r="A439">
        <v>1712307731</v>
      </c>
      <c r="B439" t="s">
        <v>675</v>
      </c>
      <c r="C439" s="16" t="e">
        <f>VLOOKUP(A439,#REF!,3,FALSE)</f>
        <v>#REF!</v>
      </c>
      <c r="E439" s="15">
        <f>VLOOKUP(A439,'[1]תקציב 2012 נכון להיום'!$A$2:$E$1361,5,FALSE)</f>
        <v>3543</v>
      </c>
      <c r="F439" s="15">
        <v>4000</v>
      </c>
      <c r="G439" s="15">
        <v>4477</v>
      </c>
      <c r="H439" s="15">
        <v>2368</v>
      </c>
    </row>
    <row r="440" spans="1:8" x14ac:dyDescent="0.15">
      <c r="A440">
        <v>1712309731</v>
      </c>
      <c r="B440" t="s">
        <v>676</v>
      </c>
      <c r="C440" s="16" t="e">
        <f>VLOOKUP(A440,#REF!,3,FALSE)</f>
        <v>#REF!</v>
      </c>
      <c r="E440" s="15">
        <f>VLOOKUP(A440,'[1]תקציב 2012 נכון להיום'!$A$2:$E$1361,5,FALSE)</f>
        <v>60933.29</v>
      </c>
      <c r="F440" s="15">
        <v>40000</v>
      </c>
      <c r="G440" s="15">
        <v>38423.15</v>
      </c>
      <c r="H440" s="15">
        <v>0</v>
      </c>
    </row>
    <row r="441" spans="1:8" x14ac:dyDescent="0.15">
      <c r="A441">
        <v>1712311731</v>
      </c>
      <c r="B441" t="s">
        <v>677</v>
      </c>
      <c r="C441" s="16" t="e">
        <f>VLOOKUP(A441,#REF!,3,FALSE)</f>
        <v>#REF!</v>
      </c>
      <c r="E441" s="15">
        <f>VLOOKUP(A441,'[1]תקציב 2012 נכון להיום'!$A$2:$E$1361,5,FALSE)</f>
        <v>1077</v>
      </c>
      <c r="F441" s="15">
        <v>2000</v>
      </c>
      <c r="G441" s="15">
        <v>1266</v>
      </c>
      <c r="H441" s="15">
        <v>2083</v>
      </c>
    </row>
    <row r="442" spans="1:8" x14ac:dyDescent="0.15">
      <c r="A442">
        <v>1712312731</v>
      </c>
      <c r="B442" t="s">
        <v>678</v>
      </c>
      <c r="C442" s="16" t="e">
        <f>VLOOKUP(A442,#REF!,3,FALSE)</f>
        <v>#REF!</v>
      </c>
      <c r="E442" s="15">
        <f>VLOOKUP(A442,'[1]תקציב 2012 נכון להיום'!$A$2:$E$1361,5,FALSE)</f>
        <v>107377.72</v>
      </c>
      <c r="F442" s="15">
        <v>125000</v>
      </c>
      <c r="G442" s="15">
        <v>163931.65</v>
      </c>
      <c r="H442" s="15">
        <v>58042.41</v>
      </c>
    </row>
    <row r="443" spans="1:8" x14ac:dyDescent="0.15">
      <c r="A443">
        <v>1712314731</v>
      </c>
      <c r="B443" t="s">
        <v>679</v>
      </c>
      <c r="C443" s="16" t="e">
        <f>VLOOKUP(A443,#REF!,3,FALSE)</f>
        <v>#REF!</v>
      </c>
      <c r="E443" s="15">
        <f>VLOOKUP(A443,'[1]תקציב 2012 נכון להיום'!$A$2:$E$1361,5,FALSE)</f>
        <v>78714.789999999994</v>
      </c>
      <c r="F443" s="15">
        <v>115000</v>
      </c>
      <c r="G443" s="15">
        <v>112547.63</v>
      </c>
      <c r="H443" s="15">
        <v>79295.95</v>
      </c>
    </row>
    <row r="444" spans="1:8" x14ac:dyDescent="0.15">
      <c r="A444">
        <v>1712316731</v>
      </c>
      <c r="B444" t="s">
        <v>680</v>
      </c>
      <c r="C444" s="16" t="e">
        <f>VLOOKUP(A444,#REF!,3,FALSE)</f>
        <v>#REF!</v>
      </c>
      <c r="E444" s="15">
        <f>VLOOKUP(A444,'[1]תקציב 2012 נכון להיום'!$A$2:$E$1361,5,FALSE)</f>
        <v>85256.4</v>
      </c>
      <c r="F444" s="15">
        <v>115000</v>
      </c>
      <c r="G444" s="15">
        <v>103119.44</v>
      </c>
      <c r="H444" s="15">
        <v>42353.59</v>
      </c>
    </row>
    <row r="445" spans="1:8" x14ac:dyDescent="0.15">
      <c r="A445">
        <v>1712500731</v>
      </c>
      <c r="B445" t="s">
        <v>681</v>
      </c>
      <c r="C445" s="16" t="e">
        <f>VLOOKUP(A445,#REF!,3,FALSE)</f>
        <v>#REF!</v>
      </c>
      <c r="E445" s="15">
        <f>VLOOKUP(A445,'[1]תקציב 2012 נכון להיום'!$A$2:$E$1361,5,FALSE)</f>
        <v>3950.7</v>
      </c>
      <c r="F445" s="15">
        <v>12000</v>
      </c>
      <c r="G445" s="15">
        <v>29167.98</v>
      </c>
      <c r="H445" s="15">
        <v>11915.54</v>
      </c>
    </row>
    <row r="446" spans="1:8" x14ac:dyDescent="0.15">
      <c r="A446">
        <v>1712500750</v>
      </c>
      <c r="B446" t="s">
        <v>682</v>
      </c>
      <c r="C446" s="16" t="e">
        <f>VLOOKUP(A446,#REF!,3,FALSE)</f>
        <v>#REF!</v>
      </c>
      <c r="E446" s="15">
        <f>VLOOKUP(A446,'[1]תקציב 2012 נכון להיום'!$A$2:$E$1361,5,FALSE)</f>
        <v>1462500</v>
      </c>
      <c r="F446" s="15">
        <v>1950000</v>
      </c>
      <c r="G446" s="15">
        <v>2108744</v>
      </c>
      <c r="H446" s="15">
        <v>2298298</v>
      </c>
    </row>
    <row r="447" spans="1:8" x14ac:dyDescent="0.15">
      <c r="A447">
        <v>1712500751</v>
      </c>
      <c r="B447" t="s">
        <v>683</v>
      </c>
      <c r="C447" s="16" t="e">
        <f>VLOOKUP(A447,#REF!,3,FALSE)</f>
        <v>#REF!</v>
      </c>
      <c r="E447" s="15">
        <f>VLOOKUP(A447,'[1]תקציב 2012 נכון להיום'!$A$2:$E$1361,5,FALSE)</f>
        <v>416471.88</v>
      </c>
      <c r="F447" s="15">
        <v>630000</v>
      </c>
      <c r="G447" s="15">
        <v>714780</v>
      </c>
      <c r="H447" s="15">
        <v>386993.2</v>
      </c>
    </row>
    <row r="448" spans="1:8" x14ac:dyDescent="0.15">
      <c r="A448">
        <v>1712501731</v>
      </c>
      <c r="B448" t="s">
        <v>684</v>
      </c>
      <c r="C448" s="16" t="e">
        <f>VLOOKUP(A448,#REF!,3,FALSE)</f>
        <v>#REF!</v>
      </c>
      <c r="E448" s="15">
        <f>VLOOKUP(A448,'[1]תקציב 2012 נכון להיום'!$A$2:$E$1361,5,FALSE)</f>
        <v>36345.93</v>
      </c>
      <c r="F448" s="15">
        <v>26000</v>
      </c>
      <c r="G448" s="15">
        <v>24720.81</v>
      </c>
      <c r="H448" s="15">
        <v>22831.84</v>
      </c>
    </row>
    <row r="449" spans="1:8" x14ac:dyDescent="0.15">
      <c r="A449">
        <v>1712800731</v>
      </c>
      <c r="B449" t="s">
        <v>685</v>
      </c>
      <c r="C449" s="16" t="e">
        <f>VLOOKUP(A449,#REF!,3,FALSE)</f>
        <v>#REF!</v>
      </c>
      <c r="E449" s="15">
        <f>VLOOKUP(A449,'[1]תקציב 2012 נכון להיום'!$A$2:$E$1361,5,FALSE)</f>
        <v>9127.9699999999993</v>
      </c>
      <c r="F449" s="15">
        <v>12000</v>
      </c>
      <c r="G449" s="15">
        <v>22822.21</v>
      </c>
      <c r="H449" s="15">
        <v>14913.83</v>
      </c>
    </row>
    <row r="450" spans="1:8" x14ac:dyDescent="0.15">
      <c r="A450">
        <v>1713000731</v>
      </c>
      <c r="B450" t="s">
        <v>686</v>
      </c>
      <c r="C450" s="16" t="e">
        <f>VLOOKUP(A450,#REF!,3,FALSE)</f>
        <v>#REF!</v>
      </c>
      <c r="E450" s="15">
        <f>VLOOKUP(A450,'[1]תקציב 2012 נכון להיום'!$A$2:$E$1361,5,FALSE)</f>
        <v>21293</v>
      </c>
      <c r="F450" s="15">
        <v>30000</v>
      </c>
      <c r="G450" s="15">
        <v>35467.910000000003</v>
      </c>
      <c r="H450" s="15">
        <v>28573.14</v>
      </c>
    </row>
    <row r="451" spans="1:8" x14ac:dyDescent="0.15">
      <c r="A451">
        <v>1714200560</v>
      </c>
      <c r="B451" t="s">
        <v>687</v>
      </c>
      <c r="C451" s="16" t="e">
        <f>VLOOKUP(A451,#REF!,3,FALSE)</f>
        <v>#REF!</v>
      </c>
      <c r="E451" s="15">
        <f>VLOOKUP(A451,'[1]תקציב 2012 נכון להיום'!$A$2:$E$1361,5,FALSE)</f>
        <v>0</v>
      </c>
      <c r="F451" s="15">
        <v>500</v>
      </c>
      <c r="G451" s="15">
        <v>0</v>
      </c>
      <c r="H451" s="15">
        <v>0</v>
      </c>
    </row>
    <row r="452" spans="1:8" x14ac:dyDescent="0.15">
      <c r="A452">
        <v>1714200580</v>
      </c>
      <c r="B452" t="s">
        <v>688</v>
      </c>
      <c r="C452" s="16" t="e">
        <f>VLOOKUP(A452,#REF!,3,FALSE)</f>
        <v>#REF!</v>
      </c>
      <c r="E452" s="15">
        <f>VLOOKUP(A452,'[1]תקציב 2012 נכון להיום'!$A$2:$E$1361,5,FALSE)</f>
        <v>91980.800000000003</v>
      </c>
      <c r="F452" s="15">
        <v>200000</v>
      </c>
      <c r="G452" s="15">
        <v>98129.35</v>
      </c>
      <c r="H452" s="15">
        <v>1000</v>
      </c>
    </row>
    <row r="453" spans="1:8" x14ac:dyDescent="0.15">
      <c r="A453">
        <v>1714200720</v>
      </c>
      <c r="B453" t="s">
        <v>689</v>
      </c>
      <c r="C453" s="16" t="e">
        <f>VLOOKUP(A453,#REF!,3,FALSE)</f>
        <v>#REF!</v>
      </c>
      <c r="E453" s="15">
        <f>VLOOKUP(A453,'[1]תקציב 2012 נכון להיום'!$A$2:$E$1361,5,FALSE)</f>
        <v>26293.73</v>
      </c>
      <c r="F453" s="15">
        <v>49500</v>
      </c>
      <c r="G453" s="15">
        <v>39456.33</v>
      </c>
      <c r="H453" s="15">
        <v>39759.379999999997</v>
      </c>
    </row>
    <row r="454" spans="1:8" x14ac:dyDescent="0.15">
      <c r="A454">
        <v>1714200731</v>
      </c>
      <c r="B454" t="s">
        <v>690</v>
      </c>
      <c r="C454" s="16" t="e">
        <f>VLOOKUP(A454,#REF!,3,FALSE)</f>
        <v>#REF!</v>
      </c>
      <c r="E454" s="15">
        <f>VLOOKUP(A454,'[1]תקציב 2012 נכון להיום'!$A$2:$E$1361,5,FALSE)</f>
        <v>26200.42</v>
      </c>
      <c r="F454" s="15">
        <v>30000</v>
      </c>
      <c r="G454" s="15">
        <v>37171.82</v>
      </c>
      <c r="H454" s="15">
        <v>51419.94</v>
      </c>
    </row>
    <row r="455" spans="1:8" x14ac:dyDescent="0.15">
      <c r="A455">
        <v>1714200781</v>
      </c>
      <c r="B455" t="s">
        <v>691</v>
      </c>
      <c r="C455" s="16" t="e">
        <f>VLOOKUP(A455,#REF!,3,FALSE)</f>
        <v>#REF!</v>
      </c>
      <c r="E455" s="15">
        <f>VLOOKUP(A455,'[1]תקציב 2012 נכון להיום'!$A$2:$E$1361,5,FALSE)</f>
        <v>0</v>
      </c>
      <c r="F455" s="15">
        <v>8000</v>
      </c>
      <c r="G455" s="15">
        <v>3016</v>
      </c>
      <c r="H455" s="15">
        <v>7986</v>
      </c>
    </row>
    <row r="456" spans="1:8" x14ac:dyDescent="0.15">
      <c r="A456">
        <v>1714300731</v>
      </c>
      <c r="B456" t="s">
        <v>692</v>
      </c>
      <c r="C456" s="16" t="e">
        <f>VLOOKUP(A456,#REF!,3,FALSE)</f>
        <v>#REF!</v>
      </c>
      <c r="E456" s="15">
        <f>VLOOKUP(A456,'[1]תקציב 2012 נכון להיום'!$A$2:$E$1361,5,FALSE)</f>
        <v>839</v>
      </c>
      <c r="F456" s="15">
        <v>1500</v>
      </c>
      <c r="G456" s="15">
        <v>946</v>
      </c>
      <c r="H456" s="15">
        <v>869</v>
      </c>
    </row>
    <row r="457" spans="1:8" x14ac:dyDescent="0.15">
      <c r="A457">
        <v>1714300750</v>
      </c>
      <c r="B457" t="s">
        <v>693</v>
      </c>
      <c r="C457" s="16" t="e">
        <f>VLOOKUP(A457,#REF!,3,FALSE)</f>
        <v>#REF!</v>
      </c>
      <c r="E457" s="15">
        <f>VLOOKUP(A457,'[1]תקציב 2012 נכון להיום'!$A$2:$E$1361,5,FALSE)</f>
        <v>73312</v>
      </c>
      <c r="F457" s="15">
        <v>105000</v>
      </c>
      <c r="G457" s="15">
        <v>105000</v>
      </c>
      <c r="H457" s="15">
        <v>139753</v>
      </c>
    </row>
    <row r="458" spans="1:8" x14ac:dyDescent="0.15">
      <c r="A458">
        <v>1714300830</v>
      </c>
      <c r="B458" t="s">
        <v>694</v>
      </c>
      <c r="C458" s="16" t="e">
        <f>VLOOKUP(A458,#REF!,3,FALSE)</f>
        <v>#REF!</v>
      </c>
      <c r="E458" s="15">
        <f>VLOOKUP(A458,'[1]תקציב 2012 נכון להיום'!$A$2:$E$1361,5,FALSE)</f>
        <v>48113</v>
      </c>
      <c r="F458" s="15">
        <v>43000</v>
      </c>
      <c r="G458" s="15">
        <v>43345</v>
      </c>
      <c r="H458" s="15">
        <v>42076</v>
      </c>
    </row>
    <row r="459" spans="1:8" x14ac:dyDescent="0.15">
      <c r="A459">
        <v>1715200720</v>
      </c>
      <c r="B459" t="s">
        <v>689</v>
      </c>
      <c r="C459" s="16" t="e">
        <f>VLOOKUP(A459,#REF!,3,FALSE)</f>
        <v>#REF!</v>
      </c>
      <c r="E459" s="15">
        <f>VLOOKUP(A459,'[1]תקציב 2012 נכון להיום'!$A$2:$E$1361,5,FALSE)</f>
        <v>76551.92</v>
      </c>
      <c r="F459" s="15">
        <v>90000</v>
      </c>
      <c r="G459" s="15">
        <v>97258.77</v>
      </c>
      <c r="H459" s="15">
        <v>71776.52</v>
      </c>
    </row>
    <row r="460" spans="1:8" x14ac:dyDescent="0.15">
      <c r="A460">
        <v>1715300750</v>
      </c>
      <c r="B460" t="s">
        <v>695</v>
      </c>
      <c r="C460" s="16" t="e">
        <f>VLOOKUP(A460,#REF!,3,FALSE)</f>
        <v>#REF!</v>
      </c>
      <c r="E460" s="15">
        <f>VLOOKUP(A460,'[1]תקציב 2012 נכון להיום'!$A$2:$E$1361,5,FALSE)</f>
        <v>33408</v>
      </c>
      <c r="F460" s="15">
        <v>50000</v>
      </c>
      <c r="G460" s="15">
        <v>50112</v>
      </c>
      <c r="H460" s="15">
        <v>50112</v>
      </c>
    </row>
    <row r="461" spans="1:8" x14ac:dyDescent="0.15">
      <c r="A461">
        <v>1722000430</v>
      </c>
      <c r="B461" t="s">
        <v>696</v>
      </c>
      <c r="C461" s="16" t="e">
        <f>VLOOKUP(A461,#REF!,3,FALSE)</f>
        <v>#REF!</v>
      </c>
      <c r="E461" s="15">
        <f>VLOOKUP(A461,'[1]תקציב 2012 נכון להיום'!$A$2:$E$1361,5,FALSE)</f>
        <v>45450</v>
      </c>
      <c r="F461" s="15">
        <v>45000</v>
      </c>
      <c r="G461" s="15">
        <v>43439.96</v>
      </c>
      <c r="H461" s="15">
        <v>40136.79</v>
      </c>
    </row>
    <row r="462" spans="1:8" x14ac:dyDescent="0.15">
      <c r="A462">
        <v>1722000511</v>
      </c>
      <c r="B462" t="s">
        <v>697</v>
      </c>
      <c r="C462" s="16" t="e">
        <f>VLOOKUP(A462,#REF!,3,FALSE)</f>
        <v>#REF!</v>
      </c>
      <c r="E462" s="15">
        <f>VLOOKUP(A462,'[1]תקציב 2012 נכון להיום'!$A$2:$E$1361,5,FALSE)</f>
        <v>2696.91</v>
      </c>
      <c r="F462" s="15">
        <v>9100</v>
      </c>
      <c r="G462" s="15">
        <v>7764.39</v>
      </c>
      <c r="H462" s="15">
        <v>9712.26</v>
      </c>
    </row>
    <row r="463" spans="1:8" x14ac:dyDescent="0.15">
      <c r="A463">
        <v>1722000540</v>
      </c>
      <c r="B463" t="s">
        <v>698</v>
      </c>
      <c r="C463" s="16" t="e">
        <f>VLOOKUP(A463,#REF!,3,FALSE)</f>
        <v>#REF!</v>
      </c>
      <c r="E463" s="15">
        <f>VLOOKUP(A463,'[1]תקציב 2012 נכון להיום'!$A$2:$E$1361,5,FALSE)</f>
        <v>118420.8</v>
      </c>
      <c r="F463" s="15">
        <v>150000</v>
      </c>
      <c r="G463" s="15">
        <v>0</v>
      </c>
      <c r="H463" s="15">
        <v>0</v>
      </c>
    </row>
    <row r="464" spans="1:8" x14ac:dyDescent="0.15">
      <c r="A464">
        <v>1722000550</v>
      </c>
      <c r="B464" t="s">
        <v>699</v>
      </c>
      <c r="C464" s="16" t="e">
        <f>VLOOKUP(A464,#REF!,3,FALSE)</f>
        <v>#REF!</v>
      </c>
      <c r="E464" s="15">
        <f>VLOOKUP(A464,'[1]תקציב 2012 נכון להיום'!$A$2:$E$1361,5,FALSE)</f>
        <v>160.09</v>
      </c>
      <c r="F464" s="15">
        <v>9100</v>
      </c>
      <c r="G464" s="15">
        <v>10860.46</v>
      </c>
      <c r="H464" s="15">
        <v>10610.03</v>
      </c>
    </row>
    <row r="465" spans="1:8" x14ac:dyDescent="0.15">
      <c r="A465">
        <v>1722000731</v>
      </c>
      <c r="B465" t="s">
        <v>700</v>
      </c>
      <c r="C465" s="16" t="e">
        <f>VLOOKUP(A465,#REF!,3,FALSE)</f>
        <v>#REF!</v>
      </c>
      <c r="E465" s="15">
        <f>VLOOKUP(A465,'[1]תקציב 2012 נכון להיום'!$A$2:$E$1361,5,FALSE)</f>
        <v>78452.320000000007</v>
      </c>
      <c r="F465" s="15">
        <v>75000</v>
      </c>
      <c r="G465" s="15">
        <v>75495.45</v>
      </c>
      <c r="H465" s="15">
        <v>54261.75</v>
      </c>
    </row>
    <row r="466" spans="1:8" x14ac:dyDescent="0.15">
      <c r="A466">
        <v>1722000750</v>
      </c>
      <c r="B466" s="59" t="s">
        <v>701</v>
      </c>
      <c r="C466" s="16" t="e">
        <f>VLOOKUP(A466,#REF!,3,FALSE)</f>
        <v>#REF!</v>
      </c>
      <c r="E466" s="15">
        <f>VLOOKUP(A466,'[1]תקציב 2012 נכון להיום'!$A$2:$E$1361,5,FALSE)</f>
        <v>100900</v>
      </c>
      <c r="F466" s="15">
        <v>200000</v>
      </c>
      <c r="G466" s="15">
        <v>256132.29</v>
      </c>
      <c r="H466" s="15">
        <v>347698.26</v>
      </c>
    </row>
    <row r="467" spans="1:8" x14ac:dyDescent="0.15">
      <c r="A467">
        <v>1722000751</v>
      </c>
      <c r="B467" t="s">
        <v>702</v>
      </c>
      <c r="C467" s="16" t="e">
        <f>VLOOKUP(A467,#REF!,3,FALSE)</f>
        <v>#REF!</v>
      </c>
      <c r="E467" s="15">
        <f>VLOOKUP(A467,'[1]תקציב 2012 נכון להיום'!$A$2:$E$1361,5,FALSE)</f>
        <v>55150</v>
      </c>
      <c r="F467" s="15">
        <v>70000</v>
      </c>
      <c r="G467" s="15">
        <v>535131.77</v>
      </c>
      <c r="H467" s="15">
        <v>415373.96</v>
      </c>
    </row>
    <row r="468" spans="1:8" x14ac:dyDescent="0.15">
      <c r="A468">
        <v>1722000752</v>
      </c>
      <c r="B468" t="s">
        <v>703</v>
      </c>
      <c r="C468" s="16" t="e">
        <f>VLOOKUP(A468,#REF!,3,FALSE)</f>
        <v>#REF!</v>
      </c>
      <c r="E468" s="15">
        <f>VLOOKUP(A468,'[1]תקציב 2012 נכון להיום'!$A$2:$E$1361,5,FALSE)</f>
        <v>3100</v>
      </c>
      <c r="F468" s="15">
        <v>260299</v>
      </c>
      <c r="G468" s="15">
        <v>289943</v>
      </c>
      <c r="H468" s="15">
        <v>0</v>
      </c>
    </row>
    <row r="469" spans="1:8" x14ac:dyDescent="0.15">
      <c r="A469">
        <v>1722000910</v>
      </c>
      <c r="B469" t="s">
        <v>704</v>
      </c>
      <c r="C469" s="16" t="e">
        <f>VLOOKUP(A469,#REF!,3,FALSE)</f>
        <v>#REF!</v>
      </c>
      <c r="E469" s="15">
        <f>VLOOKUP(A469,'[1]תקציב 2012 נכון להיום'!$A$2:$E$1361,5,FALSE)</f>
        <v>31556</v>
      </c>
      <c r="F469" s="15">
        <v>41257</v>
      </c>
      <c r="G469" s="15">
        <v>53214</v>
      </c>
      <c r="H469" s="15">
        <v>58065</v>
      </c>
    </row>
    <row r="470" spans="1:8" x14ac:dyDescent="0.15">
      <c r="A470">
        <v>1722000930</v>
      </c>
      <c r="B470" t="s">
        <v>705</v>
      </c>
      <c r="C470" s="16" t="e">
        <f>VLOOKUP(A470,#REF!,3,FALSE)</f>
        <v>#REF!</v>
      </c>
      <c r="E470" s="15">
        <f>VLOOKUP(A470,'[1]תקציב 2012 נכון להיום'!$A$2:$E$1361,5,FALSE)</f>
        <v>0</v>
      </c>
      <c r="F470" s="15">
        <v>9500</v>
      </c>
      <c r="G470" s="15">
        <v>13651.53</v>
      </c>
      <c r="H470" s="15">
        <v>14351.63</v>
      </c>
    </row>
    <row r="471" spans="1:8" x14ac:dyDescent="0.15">
      <c r="A471">
        <v>1722000980</v>
      </c>
      <c r="B471" t="s">
        <v>580</v>
      </c>
      <c r="C471" s="16" t="e">
        <f>VLOOKUP(A471,#REF!,3,FALSE)</f>
        <v>#REF!</v>
      </c>
      <c r="E471" s="15">
        <f>VLOOKUP(A471,'[1]תקציב 2012 נכון להיום'!$A$2:$E$1361,5,FALSE)</f>
        <v>4635.95</v>
      </c>
      <c r="F471" s="15">
        <v>4400</v>
      </c>
      <c r="G471" s="15">
        <v>4993.99</v>
      </c>
      <c r="H471" s="15">
        <v>1000</v>
      </c>
    </row>
    <row r="472" spans="1:8" x14ac:dyDescent="0.15">
      <c r="A472">
        <v>1722001731</v>
      </c>
      <c r="B472" t="s">
        <v>706</v>
      </c>
      <c r="C472" s="16" t="e">
        <f>VLOOKUP(A472,#REF!,3,FALSE)</f>
        <v>#REF!</v>
      </c>
      <c r="E472" s="15">
        <f>VLOOKUP(A472,'[1]תקציב 2012 נכון להיום'!$A$2:$E$1361,5,FALSE)</f>
        <v>9780.16</v>
      </c>
      <c r="F472" s="15">
        <v>20000</v>
      </c>
      <c r="G472" s="15">
        <v>23855.25</v>
      </c>
      <c r="H472" s="15">
        <v>13882.88</v>
      </c>
    </row>
    <row r="473" spans="1:8" x14ac:dyDescent="0.15">
      <c r="A473">
        <v>1722002731</v>
      </c>
      <c r="B473" t="s">
        <v>707</v>
      </c>
      <c r="C473" s="16" t="e">
        <f>VLOOKUP(A473,#REF!,3,FALSE)</f>
        <v>#REF!</v>
      </c>
      <c r="E473" s="15">
        <f>VLOOKUP(A473,'[1]תקציב 2012 נכון להיום'!$A$2:$E$1361,5,FALSE)</f>
        <v>61263.040000000001</v>
      </c>
      <c r="F473" s="15">
        <v>90000</v>
      </c>
      <c r="G473" s="15">
        <v>122668.05</v>
      </c>
      <c r="H473" s="15">
        <v>79053.259999999995</v>
      </c>
    </row>
    <row r="474" spans="1:8" x14ac:dyDescent="0.15">
      <c r="A474">
        <v>1722003731</v>
      </c>
      <c r="B474" t="s">
        <v>708</v>
      </c>
      <c r="C474" s="16" t="e">
        <f>VLOOKUP(A474,#REF!,3,FALSE)</f>
        <v>#REF!</v>
      </c>
      <c r="E474" s="15">
        <f>VLOOKUP(A474,'[1]תקציב 2012 נכון להיום'!$A$2:$E$1361,5,FALSE)</f>
        <v>100904.51</v>
      </c>
      <c r="F474" s="15">
        <v>85000</v>
      </c>
      <c r="G474" s="15">
        <v>103364.17</v>
      </c>
      <c r="H474" s="15">
        <v>58261.58</v>
      </c>
    </row>
    <row r="475" spans="1:8" x14ac:dyDescent="0.15">
      <c r="A475">
        <v>1722004731</v>
      </c>
      <c r="B475" t="s">
        <v>709</v>
      </c>
      <c r="C475" s="16" t="e">
        <f>VLOOKUP(A475,#REF!,3,FALSE)</f>
        <v>#REF!</v>
      </c>
      <c r="E475" s="15">
        <f>VLOOKUP(A475,'[1]תקציב 2012 נכון להיום'!$A$2:$E$1361,5,FALSE)</f>
        <v>15161</v>
      </c>
      <c r="F475" s="15">
        <v>15000</v>
      </c>
      <c r="G475" s="15">
        <v>19355.330000000002</v>
      </c>
      <c r="H475" s="15">
        <v>0</v>
      </c>
    </row>
    <row r="476" spans="1:8" x14ac:dyDescent="0.15">
      <c r="A476">
        <v>1722005731</v>
      </c>
      <c r="B476" t="s">
        <v>710</v>
      </c>
      <c r="C476" s="16" t="e">
        <f>VLOOKUP(A476,#REF!,3,FALSE)</f>
        <v>#REF!</v>
      </c>
      <c r="E476" s="15">
        <f>VLOOKUP(A476,'[1]תקציב 2012 נכון להיום'!$A$2:$E$1361,5,FALSE)</f>
        <v>12532</v>
      </c>
      <c r="F476" s="15">
        <v>15000</v>
      </c>
      <c r="G476" s="15">
        <v>16171</v>
      </c>
      <c r="H476" s="15">
        <v>0</v>
      </c>
    </row>
    <row r="477" spans="1:8" x14ac:dyDescent="0.15">
      <c r="A477">
        <v>1722006731</v>
      </c>
      <c r="B477" t="s">
        <v>711</v>
      </c>
      <c r="C477" s="16" t="e">
        <f>VLOOKUP(A477,#REF!,3,FALSE)</f>
        <v>#REF!</v>
      </c>
      <c r="E477" s="15">
        <f>VLOOKUP(A477,'[1]תקציב 2012 נכון להיום'!$A$2:$E$1361,5,FALSE)</f>
        <v>15392.01</v>
      </c>
      <c r="F477" s="15">
        <v>15000</v>
      </c>
      <c r="G477" s="15">
        <v>13381.01</v>
      </c>
      <c r="H477" s="15">
        <v>0</v>
      </c>
    </row>
    <row r="478" spans="1:8" x14ac:dyDescent="0.15">
      <c r="A478">
        <v>1722100780</v>
      </c>
      <c r="B478" t="s">
        <v>580</v>
      </c>
      <c r="C478" s="16" t="e">
        <f>VLOOKUP(A478,#REF!,3,FALSE)</f>
        <v>#REF!</v>
      </c>
      <c r="E478" s="15">
        <f>VLOOKUP(A478,'[1]תקציב 2012 נכון להיום'!$A$2:$E$1361,5,FALSE)</f>
        <v>2826.98</v>
      </c>
      <c r="F478" s="15">
        <v>2100</v>
      </c>
      <c r="G478" s="15">
        <v>2097</v>
      </c>
      <c r="H478" s="15">
        <v>1852.04</v>
      </c>
    </row>
    <row r="479" spans="1:8" x14ac:dyDescent="0.15">
      <c r="A479">
        <v>1723000420</v>
      </c>
      <c r="B479" t="s">
        <v>712</v>
      </c>
      <c r="C479" s="16" t="e">
        <f>VLOOKUP(A479,#REF!,3,FALSE)</f>
        <v>#REF!</v>
      </c>
      <c r="E479" s="15">
        <f>VLOOKUP(A479,'[1]תקציב 2012 נכון להיום'!$A$2:$E$1361,5,FALSE)</f>
        <v>15963.15</v>
      </c>
      <c r="F479" s="15">
        <v>50000</v>
      </c>
      <c r="G479" s="15">
        <v>48956.79</v>
      </c>
      <c r="H479" s="15">
        <v>47855.26</v>
      </c>
    </row>
    <row r="480" spans="1:8" x14ac:dyDescent="0.15">
      <c r="A480">
        <v>1723000430</v>
      </c>
      <c r="B480" t="s">
        <v>713</v>
      </c>
      <c r="C480" s="16" t="e">
        <f>VLOOKUP(A480,#REF!,3,FALSE)</f>
        <v>#REF!</v>
      </c>
      <c r="E480" s="15">
        <f>VLOOKUP(A480,'[1]תקציב 2012 נכון להיום'!$A$2:$E$1361,5,FALSE)</f>
        <v>15467.79</v>
      </c>
      <c r="F480" s="15">
        <v>9500</v>
      </c>
      <c r="G480" s="15">
        <v>10585.6</v>
      </c>
      <c r="H480" s="15">
        <v>5690.35</v>
      </c>
    </row>
    <row r="481" spans="1:8" x14ac:dyDescent="0.15">
      <c r="A481">
        <v>1723000750</v>
      </c>
      <c r="B481" t="s">
        <v>714</v>
      </c>
      <c r="C481" s="16" t="e">
        <f>VLOOKUP(A481,#REF!,3,FALSE)</f>
        <v>#REF!</v>
      </c>
      <c r="E481" s="15">
        <f>VLOOKUP(A481,'[1]תקציב 2012 נכון להיום'!$A$2:$E$1361,5,FALSE)</f>
        <v>2599</v>
      </c>
      <c r="F481" s="15">
        <v>4300</v>
      </c>
      <c r="G481" s="15">
        <v>2841</v>
      </c>
      <c r="H481" s="15">
        <v>0</v>
      </c>
    </row>
    <row r="482" spans="1:8" x14ac:dyDescent="0.15">
      <c r="A482">
        <v>1723000810</v>
      </c>
      <c r="B482" t="s">
        <v>715</v>
      </c>
      <c r="C482" s="16" t="e">
        <f>VLOOKUP(A482,#REF!,3,FALSE)</f>
        <v>#REF!</v>
      </c>
      <c r="E482" s="15">
        <f>VLOOKUP(A482,'[1]תקציב 2012 נכון להיום'!$A$2:$E$1361,5,FALSE)</f>
        <v>235194.06</v>
      </c>
      <c r="F482" s="15">
        <v>220000</v>
      </c>
      <c r="G482" s="15">
        <v>221748.58</v>
      </c>
      <c r="H482" s="15">
        <v>192417.33</v>
      </c>
    </row>
    <row r="483" spans="1:8" x14ac:dyDescent="0.15">
      <c r="A483">
        <v>1723000910</v>
      </c>
      <c r="B483" t="s">
        <v>716</v>
      </c>
      <c r="C483" s="16" t="e">
        <f>VLOOKUP(A483,#REF!,3,FALSE)</f>
        <v>#REF!</v>
      </c>
      <c r="E483" s="15">
        <f>VLOOKUP(A483,'[1]תקציב 2012 נכון להיום'!$A$2:$E$1361,5,FALSE)</f>
        <v>0</v>
      </c>
      <c r="F483" s="15">
        <v>10000</v>
      </c>
      <c r="G483" s="15">
        <v>0</v>
      </c>
      <c r="H483" s="15">
        <v>0</v>
      </c>
    </row>
    <row r="484" spans="1:8" x14ac:dyDescent="0.15">
      <c r="A484">
        <v>1723100810</v>
      </c>
      <c r="B484" t="s">
        <v>717</v>
      </c>
      <c r="C484" s="16" t="e">
        <f>VLOOKUP(A484,#REF!,3,FALSE)</f>
        <v>#REF!</v>
      </c>
      <c r="E484" s="15">
        <f>VLOOKUP(A484,'[1]תקציב 2012 נכון להיום'!$A$2:$E$1361,5,FALSE)</f>
        <v>33500</v>
      </c>
      <c r="F484" s="15">
        <v>35000</v>
      </c>
      <c r="G484" s="15">
        <v>0</v>
      </c>
      <c r="H484" s="15">
        <v>0</v>
      </c>
    </row>
    <row r="485" spans="1:8" ht="14" thickBot="1" x14ac:dyDescent="0.2">
      <c r="A485">
        <v>1724000830</v>
      </c>
      <c r="B485" t="s">
        <v>718</v>
      </c>
      <c r="C485" s="16" t="e">
        <f>VLOOKUP(A485,#REF!,3,FALSE)</f>
        <v>#REF!</v>
      </c>
      <c r="E485" s="15">
        <f>VLOOKUP(A485,'[1]תקציב 2012 נכון להיום'!$A$2:$E$1361,5,FALSE)</f>
        <v>1374830.6</v>
      </c>
      <c r="F485" s="15">
        <v>1338000</v>
      </c>
      <c r="G485" s="15">
        <v>1337275</v>
      </c>
      <c r="H485" s="15">
        <v>1084656</v>
      </c>
    </row>
    <row r="486" spans="1:8" x14ac:dyDescent="0.15">
      <c r="A486">
        <v>1731000440</v>
      </c>
      <c r="B486" s="60" t="s">
        <v>719</v>
      </c>
      <c r="C486" s="16" t="e">
        <f>VLOOKUP(A486,#REF!,3,FALSE)</f>
        <v>#REF!</v>
      </c>
      <c r="D486" s="337" t="s">
        <v>1115</v>
      </c>
      <c r="E486" s="15">
        <f>VLOOKUP(A486,'[1]תקציב 2012 נכון להיום'!$A$2:$E$1361,5,FALSE)</f>
        <v>0</v>
      </c>
      <c r="F486" s="15">
        <v>70200</v>
      </c>
      <c r="G486" s="15">
        <v>70200</v>
      </c>
      <c r="H486" s="15">
        <v>70200</v>
      </c>
    </row>
    <row r="487" spans="1:8" x14ac:dyDescent="0.15">
      <c r="A487">
        <v>1731000450</v>
      </c>
      <c r="B487" s="60" t="s">
        <v>720</v>
      </c>
      <c r="C487" s="16" t="e">
        <f>VLOOKUP(A487,#REF!,3,FALSE)</f>
        <v>#REF!</v>
      </c>
      <c r="D487" s="338"/>
      <c r="E487" s="15">
        <f>VLOOKUP(A487,'[1]תקציב 2012 נכון להיום'!$A$2:$E$1361,5,FALSE)</f>
        <v>1099.98</v>
      </c>
      <c r="F487" s="15">
        <v>1000</v>
      </c>
      <c r="G487" s="15">
        <v>652.54</v>
      </c>
      <c r="H487" s="15">
        <v>0</v>
      </c>
    </row>
    <row r="488" spans="1:8" x14ac:dyDescent="0.15">
      <c r="A488">
        <v>1731000511</v>
      </c>
      <c r="B488" s="60" t="s">
        <v>721</v>
      </c>
      <c r="C488" s="16" t="e">
        <f>VLOOKUP(A488,#REF!,3,FALSE)</f>
        <v>#REF!</v>
      </c>
      <c r="D488" s="338"/>
      <c r="E488" s="15">
        <f>VLOOKUP(A488,'[1]תקציב 2012 נכון להיום'!$A$2:$E$1361,5,FALSE)</f>
        <v>1441.56</v>
      </c>
      <c r="F488" s="15">
        <v>2600</v>
      </c>
      <c r="G488" s="15">
        <v>1978.89</v>
      </c>
      <c r="H488" s="15">
        <v>438.25</v>
      </c>
    </row>
    <row r="489" spans="1:8" x14ac:dyDescent="0.15">
      <c r="A489">
        <v>1731000512</v>
      </c>
      <c r="B489" s="60" t="s">
        <v>722</v>
      </c>
      <c r="C489" s="16" t="e">
        <f>VLOOKUP(A489,#REF!,3,FALSE)</f>
        <v>#REF!</v>
      </c>
      <c r="D489" s="338"/>
      <c r="E489" s="15">
        <f>VLOOKUP(A489,'[1]תקציב 2012 נכון להיום'!$A$2:$E$1361,5,FALSE)</f>
        <v>999.91</v>
      </c>
      <c r="F489" s="15">
        <v>1000</v>
      </c>
      <c r="G489" s="15">
        <v>598.1</v>
      </c>
      <c r="H489" s="15">
        <v>511.5</v>
      </c>
    </row>
    <row r="490" spans="1:8" x14ac:dyDescent="0.15">
      <c r="A490">
        <v>1731000520</v>
      </c>
      <c r="B490" s="60" t="s">
        <v>571</v>
      </c>
      <c r="C490" s="16" t="e">
        <f>VLOOKUP(A490,#REF!,3,FALSE)</f>
        <v>#REF!</v>
      </c>
      <c r="D490" s="338"/>
      <c r="E490" s="15">
        <f>VLOOKUP(A490,'[1]תקציב 2012 נכון להיום'!$A$2:$E$1361,5,FALSE)</f>
        <v>416</v>
      </c>
      <c r="F490" s="15">
        <v>2200</v>
      </c>
      <c r="G490" s="15">
        <v>2178</v>
      </c>
      <c r="H490" s="15">
        <v>2980</v>
      </c>
    </row>
    <row r="491" spans="1:8" x14ac:dyDescent="0.15">
      <c r="A491">
        <v>1731000521</v>
      </c>
      <c r="B491" s="60" t="s">
        <v>646</v>
      </c>
      <c r="C491" s="16" t="e">
        <f>VLOOKUP(A491,#REF!,3,FALSE)</f>
        <v>#REF!</v>
      </c>
      <c r="D491" s="338"/>
      <c r="E491" s="15">
        <f>VLOOKUP(A491,'[1]תקציב 2012 נכון להיום'!$A$2:$E$1361,5,FALSE)</f>
        <v>6686</v>
      </c>
      <c r="F491" s="15">
        <v>8815</v>
      </c>
      <c r="G491" s="15">
        <v>9460.67</v>
      </c>
      <c r="H491" s="15">
        <v>7727.6</v>
      </c>
    </row>
    <row r="492" spans="1:8" x14ac:dyDescent="0.15">
      <c r="A492">
        <v>1731000522</v>
      </c>
      <c r="B492" s="60" t="s">
        <v>723</v>
      </c>
      <c r="C492" s="16" t="e">
        <f>VLOOKUP(A492,#REF!,3,FALSE)</f>
        <v>#REF!</v>
      </c>
      <c r="D492" s="338"/>
      <c r="E492" s="15">
        <f>VLOOKUP(A492,'[1]תקציב 2012 נכון להיום'!$A$2:$E$1361,5,FALSE)</f>
        <v>1810</v>
      </c>
      <c r="F492" s="15">
        <v>2500</v>
      </c>
      <c r="G492" s="15">
        <v>2442.4</v>
      </c>
      <c r="H492" s="15">
        <v>2500</v>
      </c>
    </row>
    <row r="493" spans="1:8" ht="14" thickBot="1" x14ac:dyDescent="0.2">
      <c r="A493">
        <v>1731000523</v>
      </c>
      <c r="B493" s="60" t="s">
        <v>724</v>
      </c>
      <c r="C493" s="16" t="e">
        <f>VLOOKUP(A493,#REF!,3,FALSE)</f>
        <v>#REF!</v>
      </c>
      <c r="D493" s="339"/>
      <c r="E493" s="15">
        <f>VLOOKUP(A493,'[1]תקציב 2012 נכון להיום'!$A$2:$E$1361,5,FALSE)</f>
        <v>1600</v>
      </c>
      <c r="F493" s="15">
        <v>1600</v>
      </c>
      <c r="G493" s="15">
        <v>919</v>
      </c>
      <c r="H493" s="15">
        <v>360</v>
      </c>
    </row>
    <row r="494" spans="1:8" ht="14" thickBot="1" x14ac:dyDescent="0.2">
      <c r="A494">
        <v>1731000530</v>
      </c>
      <c r="B494" t="s">
        <v>725</v>
      </c>
      <c r="C494" s="16" t="e">
        <f>VLOOKUP(A494,#REF!,3,FALSE)</f>
        <v>#REF!</v>
      </c>
      <c r="E494" s="15">
        <f>VLOOKUP(A494,'[1]תקציב 2012 נכון להיום'!$A$2:$E$1361,5,FALSE)</f>
        <v>53449.3</v>
      </c>
      <c r="F494" s="15">
        <v>69000</v>
      </c>
      <c r="G494" s="15">
        <v>81332.62</v>
      </c>
      <c r="H494" s="15">
        <v>94638.14</v>
      </c>
    </row>
    <row r="495" spans="1:8" x14ac:dyDescent="0.15">
      <c r="A495">
        <v>1731000540</v>
      </c>
      <c r="B495" s="60" t="s">
        <v>726</v>
      </c>
      <c r="C495" s="16" t="e">
        <f>VLOOKUP(A495,#REF!,3,FALSE)</f>
        <v>#REF!</v>
      </c>
      <c r="D495" s="337" t="s">
        <v>1115</v>
      </c>
      <c r="E495" s="15">
        <f>VLOOKUP(A495,'[1]תקציב 2012 נכון להיום'!$A$2:$E$1361,5,FALSE)</f>
        <v>0</v>
      </c>
      <c r="F495" s="15">
        <v>200</v>
      </c>
      <c r="G495" s="15">
        <v>0</v>
      </c>
      <c r="H495" s="15">
        <v>0</v>
      </c>
    </row>
    <row r="496" spans="1:8" x14ac:dyDescent="0.15">
      <c r="A496">
        <v>1731000550</v>
      </c>
      <c r="B496" s="60" t="s">
        <v>727</v>
      </c>
      <c r="C496" s="16" t="e">
        <f>VLOOKUP(A496,#REF!,3,FALSE)</f>
        <v>#REF!</v>
      </c>
      <c r="D496" s="338"/>
      <c r="E496" s="15">
        <f>VLOOKUP(A496,'[1]תקציב 2012 נכון להיום'!$A$2:$E$1361,5,FALSE)</f>
        <v>4404.5200000000004</v>
      </c>
      <c r="F496" s="15">
        <v>4000</v>
      </c>
      <c r="G496" s="15">
        <v>4690</v>
      </c>
      <c r="H496" s="15">
        <v>3112</v>
      </c>
    </row>
    <row r="497" spans="1:8" x14ac:dyDescent="0.15">
      <c r="A497">
        <v>1731000560</v>
      </c>
      <c r="B497" s="60" t="s">
        <v>728</v>
      </c>
      <c r="C497" s="16" t="e">
        <f>VLOOKUP(A497,#REF!,3,FALSE)</f>
        <v>#REF!</v>
      </c>
      <c r="D497" s="338"/>
      <c r="E497" s="15">
        <f>VLOOKUP(A497,'[1]תקציב 2012 נכון להיום'!$A$2:$E$1361,5,FALSE)</f>
        <v>14246.37</v>
      </c>
      <c r="F497" s="15">
        <v>16500</v>
      </c>
      <c r="G497" s="15">
        <v>8502.99</v>
      </c>
      <c r="H497" s="15">
        <v>10822.71</v>
      </c>
    </row>
    <row r="498" spans="1:8" x14ac:dyDescent="0.15">
      <c r="A498">
        <v>1731000570</v>
      </c>
      <c r="B498" s="60" t="s">
        <v>729</v>
      </c>
      <c r="C498" s="16" t="e">
        <f>VLOOKUP(A498,#REF!,3,FALSE)</f>
        <v>#REF!</v>
      </c>
      <c r="D498" s="338"/>
      <c r="E498" s="15">
        <f>VLOOKUP(A498,'[1]תקציב 2012 נכון להיום'!$A$2:$E$1361,5,FALSE)</f>
        <v>30297.279999999999</v>
      </c>
      <c r="F498" s="15">
        <v>30000</v>
      </c>
      <c r="G498" s="15">
        <v>41035.69</v>
      </c>
      <c r="H498" s="15">
        <v>25680.2</v>
      </c>
    </row>
    <row r="499" spans="1:8" x14ac:dyDescent="0.15">
      <c r="A499">
        <v>1731000750</v>
      </c>
      <c r="B499" s="60" t="s">
        <v>730</v>
      </c>
      <c r="C499" s="16" t="e">
        <f>VLOOKUP(A499,#REF!,3,FALSE)</f>
        <v>#REF!</v>
      </c>
      <c r="D499" s="338"/>
      <c r="E499" s="15">
        <f>VLOOKUP(A499,'[1]תקציב 2012 נכון להיום'!$A$2:$E$1361,5,FALSE)</f>
        <v>5382.5</v>
      </c>
      <c r="F499" s="15">
        <v>14500</v>
      </c>
      <c r="G499" s="15">
        <v>138154.96</v>
      </c>
      <c r="H499" s="15">
        <v>36490.5</v>
      </c>
    </row>
    <row r="500" spans="1:8" x14ac:dyDescent="0.15">
      <c r="A500">
        <v>1731000760</v>
      </c>
      <c r="B500" s="60" t="s">
        <v>552</v>
      </c>
      <c r="C500" s="16" t="e">
        <f>VLOOKUP(A500,#REF!,3,FALSE)</f>
        <v>#REF!</v>
      </c>
      <c r="D500" s="338"/>
      <c r="E500" s="15">
        <f>VLOOKUP(A500,'[1]תקציב 2012 נכון להיום'!$A$2:$E$1361,5,FALSE)</f>
        <v>19369.580000000002</v>
      </c>
      <c r="F500" s="15">
        <v>37000</v>
      </c>
      <c r="G500" s="15">
        <v>0</v>
      </c>
      <c r="H500" s="15">
        <v>0</v>
      </c>
    </row>
    <row r="501" spans="1:8" x14ac:dyDescent="0.15">
      <c r="A501">
        <v>1731000780</v>
      </c>
      <c r="B501" s="60" t="s">
        <v>731</v>
      </c>
      <c r="C501" s="16" t="e">
        <f>VLOOKUP(A501,#REF!,3,FALSE)</f>
        <v>#REF!</v>
      </c>
      <c r="D501" s="338"/>
      <c r="E501" s="15">
        <f>VLOOKUP(A501,'[1]תקציב 2012 נכון להיום'!$A$2:$E$1361,5,FALSE)</f>
        <v>76427.710000000006</v>
      </c>
      <c r="F501" s="15">
        <v>148000</v>
      </c>
      <c r="G501" s="15">
        <v>6983.3</v>
      </c>
      <c r="H501" s="15">
        <v>2986.16</v>
      </c>
    </row>
    <row r="502" spans="1:8" x14ac:dyDescent="0.15">
      <c r="A502">
        <v>1731000910</v>
      </c>
      <c r="B502" s="60" t="s">
        <v>716</v>
      </c>
      <c r="C502" s="16" t="e">
        <f>VLOOKUP(A502,#REF!,3,FALSE)</f>
        <v>#REF!</v>
      </c>
      <c r="D502" s="338"/>
      <c r="E502" s="15">
        <f>VLOOKUP(A502,'[1]תקציב 2012 נכון להיום'!$A$2:$E$1361,5,FALSE)</f>
        <v>1185</v>
      </c>
      <c r="F502" s="15">
        <v>1185</v>
      </c>
      <c r="G502" s="15">
        <v>0</v>
      </c>
      <c r="H502" s="15">
        <v>0</v>
      </c>
    </row>
    <row r="503" spans="1:8" ht="14" thickBot="1" x14ac:dyDescent="0.2">
      <c r="A503">
        <v>1731000930</v>
      </c>
      <c r="B503" s="60" t="s">
        <v>732</v>
      </c>
      <c r="C503" s="16" t="e">
        <f>VLOOKUP(A503,#REF!,3,FALSE)</f>
        <v>#REF!</v>
      </c>
      <c r="D503" s="339"/>
      <c r="E503" s="15">
        <f>VLOOKUP(A503,'[1]תקציב 2012 נכון להיום'!$A$2:$E$1361,5,FALSE)</f>
        <v>1861.4</v>
      </c>
      <c r="F503" s="15">
        <v>5000</v>
      </c>
      <c r="G503" s="15">
        <v>5000</v>
      </c>
      <c r="H503" s="15">
        <v>1563</v>
      </c>
    </row>
    <row r="504" spans="1:8" x14ac:dyDescent="0.15">
      <c r="A504">
        <v>1731100530</v>
      </c>
      <c r="B504" t="s">
        <v>733</v>
      </c>
      <c r="C504" s="16" t="e">
        <f>VLOOKUP(A504,#REF!,3,FALSE)</f>
        <v>#REF!</v>
      </c>
      <c r="E504" s="15">
        <f>VLOOKUP(A504,'[1]תקציב 2012 נכון להיום'!$A$2:$E$1361,5,FALSE)</f>
        <v>0</v>
      </c>
      <c r="F504" s="15">
        <v>0</v>
      </c>
      <c r="G504" s="15">
        <v>0</v>
      </c>
      <c r="H504" s="15">
        <v>0</v>
      </c>
    </row>
    <row r="505" spans="1:8" ht="14" thickBot="1" x14ac:dyDescent="0.2">
      <c r="A505">
        <v>1731100731</v>
      </c>
      <c r="B505" t="s">
        <v>734</v>
      </c>
      <c r="C505" s="16" t="e">
        <f>VLOOKUP(A505,#REF!,3,FALSE)</f>
        <v>#REF!</v>
      </c>
      <c r="E505" s="15">
        <f>VLOOKUP(A505,'[1]תקציב 2012 נכון להיום'!$A$2:$E$1361,5,FALSE)</f>
        <v>0</v>
      </c>
      <c r="F505" s="15">
        <v>5500</v>
      </c>
      <c r="G505" s="15">
        <v>0</v>
      </c>
      <c r="H505" s="15">
        <v>0</v>
      </c>
    </row>
    <row r="506" spans="1:8" x14ac:dyDescent="0.15">
      <c r="A506">
        <v>1732000560</v>
      </c>
      <c r="B506" s="60" t="s">
        <v>728</v>
      </c>
      <c r="C506" s="16" t="e">
        <f>VLOOKUP(A506,#REF!,3,FALSE)</f>
        <v>#REF!</v>
      </c>
      <c r="D506" s="337" t="s">
        <v>1115</v>
      </c>
      <c r="E506" s="15">
        <f>VLOOKUP(A506,'[1]תקציב 2012 נכון להיום'!$A$2:$E$1361,5,FALSE)</f>
        <v>171.37</v>
      </c>
      <c r="F506" s="15">
        <v>2000</v>
      </c>
      <c r="G506" s="15">
        <v>2162.62</v>
      </c>
      <c r="H506" s="15">
        <v>539.92999999999995</v>
      </c>
    </row>
    <row r="507" spans="1:8" x14ac:dyDescent="0.15">
      <c r="A507">
        <v>1732000750</v>
      </c>
      <c r="B507" s="60" t="s">
        <v>730</v>
      </c>
      <c r="C507" s="16" t="e">
        <f>VLOOKUP(A507,#REF!,3,FALSE)</f>
        <v>#REF!</v>
      </c>
      <c r="D507" s="338"/>
      <c r="E507" s="15">
        <f>VLOOKUP(A507,'[1]תקציב 2012 נכון להיום'!$A$2:$E$1361,5,FALSE)</f>
        <v>0</v>
      </c>
      <c r="F507" s="15">
        <v>13000</v>
      </c>
      <c r="G507" s="15">
        <v>11898</v>
      </c>
      <c r="H507" s="15">
        <v>19494.38</v>
      </c>
    </row>
    <row r="508" spans="1:8" x14ac:dyDescent="0.15">
      <c r="A508">
        <v>1732000780</v>
      </c>
      <c r="B508" s="60" t="s">
        <v>731</v>
      </c>
      <c r="C508" s="16" t="e">
        <f>VLOOKUP(A508,#REF!,3,FALSE)</f>
        <v>#REF!</v>
      </c>
      <c r="D508" s="338"/>
      <c r="E508" s="15">
        <f>VLOOKUP(A508,'[1]תקציב 2012 נכון להיום'!$A$2:$E$1361,5,FALSE)</f>
        <v>1560</v>
      </c>
      <c r="F508" s="15">
        <v>62200</v>
      </c>
      <c r="G508" s="15">
        <v>62199.360000000001</v>
      </c>
      <c r="H508" s="15">
        <v>31315.57</v>
      </c>
    </row>
    <row r="509" spans="1:8" x14ac:dyDescent="0.15">
      <c r="A509">
        <v>1732000950</v>
      </c>
      <c r="B509" s="60" t="s">
        <v>735</v>
      </c>
      <c r="C509" s="16" t="e">
        <f>VLOOKUP(A509,#REF!,3,FALSE)</f>
        <v>#REF!</v>
      </c>
      <c r="D509" s="338"/>
      <c r="E509" s="15">
        <f>VLOOKUP(A509,'[1]תקציב 2012 נכון להיום'!$A$2:$E$1361,5,FALSE)</f>
        <v>0</v>
      </c>
      <c r="F509" s="15">
        <v>13000</v>
      </c>
      <c r="G509" s="15">
        <v>40627.1</v>
      </c>
      <c r="H509" s="15">
        <v>37805.19</v>
      </c>
    </row>
    <row r="510" spans="1:8" x14ac:dyDescent="0.15">
      <c r="A510">
        <v>1733100560</v>
      </c>
      <c r="B510" s="60" t="s">
        <v>728</v>
      </c>
      <c r="C510" s="16" t="e">
        <f>VLOOKUP(A510,#REF!,3,FALSE)</f>
        <v>#REF!</v>
      </c>
      <c r="D510" s="338"/>
      <c r="E510" s="15">
        <f>VLOOKUP(A510,'[1]תקציב 2012 נכון להיום'!$A$2:$E$1361,5,FALSE)</f>
        <v>1582</v>
      </c>
      <c r="F510" s="15">
        <v>4500</v>
      </c>
      <c r="G510" s="15">
        <v>7542.94</v>
      </c>
      <c r="H510" s="15">
        <v>7557.47</v>
      </c>
    </row>
    <row r="511" spans="1:8" x14ac:dyDescent="0.15">
      <c r="A511">
        <v>1733100780</v>
      </c>
      <c r="B511" s="60" t="s">
        <v>731</v>
      </c>
      <c r="C511" s="16" t="e">
        <f>VLOOKUP(A511,#REF!,3,FALSE)</f>
        <v>#REF!</v>
      </c>
      <c r="D511" s="338"/>
      <c r="E511" s="15">
        <f>VLOOKUP(A511,'[1]תקציב 2012 נכון להיום'!$A$2:$E$1361,5,FALSE)</f>
        <v>357.47</v>
      </c>
      <c r="F511" s="15">
        <v>2300</v>
      </c>
      <c r="G511" s="15">
        <v>3841.96</v>
      </c>
      <c r="H511" s="15">
        <v>3800</v>
      </c>
    </row>
    <row r="512" spans="1:8" x14ac:dyDescent="0.15">
      <c r="A512">
        <v>1733100930</v>
      </c>
      <c r="B512" s="60" t="s">
        <v>732</v>
      </c>
      <c r="C512" s="16" t="e">
        <f>VLOOKUP(A512,#REF!,3,FALSE)</f>
        <v>#REF!</v>
      </c>
      <c r="D512" s="338"/>
      <c r="E512" s="15">
        <f>VLOOKUP(A512,'[1]תקציב 2012 נכון להיום'!$A$2:$E$1361,5,FALSE)</f>
        <v>0</v>
      </c>
      <c r="F512" s="15">
        <v>5000</v>
      </c>
      <c r="G512" s="15">
        <v>5140</v>
      </c>
      <c r="H512" s="15">
        <v>2320.15</v>
      </c>
    </row>
    <row r="513" spans="1:8" ht="14" thickBot="1" x14ac:dyDescent="0.2">
      <c r="A513">
        <v>1733200780</v>
      </c>
      <c r="B513" s="60" t="s">
        <v>580</v>
      </c>
      <c r="C513" s="16" t="e">
        <f>VLOOKUP(A513,#REF!,3,FALSE)</f>
        <v>#REF!</v>
      </c>
      <c r="D513" s="339"/>
      <c r="E513" s="15">
        <f>VLOOKUP(A513,'[1]תקציב 2012 נכון להיום'!$A$2:$E$1361,5,FALSE)</f>
        <v>1950</v>
      </c>
      <c r="F513" s="15">
        <v>6000</v>
      </c>
      <c r="G513" s="15">
        <v>6000</v>
      </c>
      <c r="H513" s="15">
        <v>3250</v>
      </c>
    </row>
    <row r="514" spans="1:8" ht="15" thickBot="1" x14ac:dyDescent="0.2">
      <c r="A514">
        <v>1741000750</v>
      </c>
      <c r="B514" s="59" t="s">
        <v>736</v>
      </c>
      <c r="C514" s="16" t="e">
        <f>VLOOKUP(A514,#REF!,3,FALSE)</f>
        <v>#REF!</v>
      </c>
      <c r="D514" s="18" t="s">
        <v>1113</v>
      </c>
      <c r="E514" s="15">
        <f>VLOOKUP(A514,'[1]תקציב 2012 נכון להיום'!$A$2:$E$1361,5,FALSE)</f>
        <v>0</v>
      </c>
      <c r="F514" s="15">
        <v>100000</v>
      </c>
      <c r="G514" s="15">
        <v>207326.22</v>
      </c>
      <c r="H514" s="15">
        <v>0</v>
      </c>
    </row>
    <row r="515" spans="1:8" x14ac:dyDescent="0.15">
      <c r="A515">
        <v>1742000440</v>
      </c>
      <c r="B515" t="s">
        <v>558</v>
      </c>
      <c r="C515" s="16" t="e">
        <f>VLOOKUP(A515,#REF!,3,FALSE)</f>
        <v>#REF!</v>
      </c>
      <c r="D515" s="343" t="s">
        <v>1116</v>
      </c>
      <c r="E515" s="15">
        <f>VLOOKUP(A515,'[1]תקציב 2012 נכון להיום'!$A$2:$E$1361,5,FALSE)</f>
        <v>5505</v>
      </c>
      <c r="F515" s="15">
        <v>6542</v>
      </c>
      <c r="G515" s="15">
        <v>7666.45</v>
      </c>
      <c r="H515" s="15">
        <v>5758.7</v>
      </c>
    </row>
    <row r="516" spans="1:8" x14ac:dyDescent="0.15">
      <c r="A516">
        <v>1742000560</v>
      </c>
      <c r="B516" t="s">
        <v>728</v>
      </c>
      <c r="C516" s="16" t="e">
        <f>VLOOKUP(A516,#REF!,3,FALSE)</f>
        <v>#REF!</v>
      </c>
      <c r="D516" s="344"/>
      <c r="E516" s="15">
        <f>VLOOKUP(A516,'[1]תקציב 2012 נכון להיום'!$A$2:$E$1361,5,FALSE)</f>
        <v>0</v>
      </c>
      <c r="F516" s="15">
        <v>3000</v>
      </c>
      <c r="G516" s="15">
        <v>2999.99</v>
      </c>
      <c r="H516" s="15">
        <v>3000</v>
      </c>
    </row>
    <row r="517" spans="1:8" x14ac:dyDescent="0.15">
      <c r="A517">
        <v>1742000720</v>
      </c>
      <c r="B517" t="s">
        <v>689</v>
      </c>
      <c r="C517" s="16" t="e">
        <f>VLOOKUP(A517,#REF!,3,FALSE)</f>
        <v>#REF!</v>
      </c>
      <c r="D517" s="344"/>
      <c r="E517" s="15">
        <f>VLOOKUP(A517,'[1]תקציב 2012 נכון להיום'!$A$2:$E$1361,5,FALSE)</f>
        <v>56870.6</v>
      </c>
      <c r="F517" s="15">
        <v>70000</v>
      </c>
      <c r="G517" s="15">
        <v>41823.4</v>
      </c>
      <c r="H517" s="15">
        <v>95715.9</v>
      </c>
    </row>
    <row r="518" spans="1:8" x14ac:dyDescent="0.15">
      <c r="A518">
        <v>1742000740</v>
      </c>
      <c r="B518" t="s">
        <v>737</v>
      </c>
      <c r="C518" s="16" t="e">
        <f>VLOOKUP(A518,#REF!,3,FALSE)</f>
        <v>#REF!</v>
      </c>
      <c r="D518" s="344"/>
      <c r="E518" s="15">
        <f>VLOOKUP(A518,'[1]תקציב 2012 נכון להיום'!$A$2:$E$1361,5,FALSE)</f>
        <v>0</v>
      </c>
      <c r="F518" s="15">
        <v>1700</v>
      </c>
      <c r="G518" s="15">
        <v>1000</v>
      </c>
      <c r="H518" s="15">
        <v>1148</v>
      </c>
    </row>
    <row r="519" spans="1:8" x14ac:dyDescent="0.15">
      <c r="A519">
        <v>1742000750</v>
      </c>
      <c r="B519" t="s">
        <v>714</v>
      </c>
      <c r="C519" s="16" t="e">
        <f>VLOOKUP(A519,#REF!,3,FALSE)</f>
        <v>#REF!</v>
      </c>
      <c r="D519" s="344"/>
      <c r="E519" s="15">
        <f>VLOOKUP(A519,'[1]תקציב 2012 נכון להיום'!$A$2:$E$1361,5,FALSE)</f>
        <v>17622</v>
      </c>
      <c r="F519" s="15">
        <v>60000</v>
      </c>
      <c r="G519" s="15">
        <v>68692.08</v>
      </c>
      <c r="H519" s="15">
        <v>64466</v>
      </c>
    </row>
    <row r="520" spans="1:8" x14ac:dyDescent="0.15">
      <c r="A520">
        <v>1742000910</v>
      </c>
      <c r="B520" s="57" t="s">
        <v>1148</v>
      </c>
      <c r="C520" s="16" t="e">
        <f>VLOOKUP(A520,#REF!,3,FALSE)</f>
        <v>#REF!</v>
      </c>
      <c r="D520" s="344"/>
      <c r="E520" s="15">
        <f>VLOOKUP(A520,'[1]תקציב 2012 נכון להיום'!$A$2:$E$1361,5,FALSE)</f>
        <v>67754</v>
      </c>
      <c r="F520" s="15">
        <v>160000</v>
      </c>
      <c r="G520" s="15">
        <v>0</v>
      </c>
      <c r="H520" s="15">
        <v>162800</v>
      </c>
    </row>
    <row r="521" spans="1:8" ht="14" thickBot="1" x14ac:dyDescent="0.2">
      <c r="A521">
        <v>1742000930</v>
      </c>
      <c r="B521" t="s">
        <v>739</v>
      </c>
      <c r="C521" s="16" t="e">
        <f>VLOOKUP(A521,#REF!,3,FALSE)</f>
        <v>#REF!</v>
      </c>
      <c r="D521" s="345"/>
      <c r="E521" s="15">
        <f>VLOOKUP(A521,'[1]תקציב 2012 נכון להיום'!$A$2:$E$1361,5,FALSE)</f>
        <v>45822.06</v>
      </c>
      <c r="F521" s="15">
        <v>100000</v>
      </c>
      <c r="G521" s="15">
        <v>100000</v>
      </c>
      <c r="H521" s="15">
        <v>0</v>
      </c>
    </row>
    <row r="522" spans="1:8" x14ac:dyDescent="0.15">
      <c r="A522">
        <v>1743000720</v>
      </c>
      <c r="B522" s="60" t="s">
        <v>689</v>
      </c>
      <c r="C522" s="16" t="e">
        <f>VLOOKUP(A522,#REF!,3,FALSE)</f>
        <v>#REF!</v>
      </c>
      <c r="D522" s="337" t="s">
        <v>1115</v>
      </c>
      <c r="E522" s="15">
        <f>VLOOKUP(A522,'[1]תקציב 2012 נכון להיום'!$A$2:$E$1361,5,FALSE)</f>
        <v>154121.01</v>
      </c>
      <c r="F522" s="15">
        <v>160000</v>
      </c>
      <c r="G522" s="15">
        <v>165709.9</v>
      </c>
      <c r="H522" s="15">
        <v>217895.8</v>
      </c>
    </row>
    <row r="523" spans="1:8" x14ac:dyDescent="0.15">
      <c r="A523">
        <v>1743000740</v>
      </c>
      <c r="B523" s="60" t="s">
        <v>737</v>
      </c>
      <c r="C523" s="16" t="e">
        <f>VLOOKUP(A523,#REF!,3,FALSE)</f>
        <v>#REF!</v>
      </c>
      <c r="D523" s="338"/>
      <c r="E523" s="15">
        <f>VLOOKUP(A523,'[1]תקציב 2012 נכון להיום'!$A$2:$E$1361,5,FALSE)</f>
        <v>34231.599999999999</v>
      </c>
      <c r="F523" s="15">
        <v>35000</v>
      </c>
      <c r="G523" s="15">
        <v>29600.1</v>
      </c>
      <c r="H523" s="15">
        <v>30660.880000000001</v>
      </c>
    </row>
    <row r="524" spans="1:8" ht="14" thickBot="1" x14ac:dyDescent="0.2">
      <c r="A524">
        <v>1743000750</v>
      </c>
      <c r="B524" s="60" t="s">
        <v>714</v>
      </c>
      <c r="C524" s="16" t="e">
        <f>VLOOKUP(A524,#REF!,3,FALSE)</f>
        <v>#REF!</v>
      </c>
      <c r="D524" s="339"/>
      <c r="E524" s="15">
        <f>VLOOKUP(A524,'[1]תקציב 2012 נכון להיום'!$A$2:$E$1361,5,FALSE)</f>
        <v>42152.83</v>
      </c>
      <c r="F524" s="15">
        <v>50000</v>
      </c>
      <c r="G524" s="15">
        <v>73096.649999999994</v>
      </c>
      <c r="H524" s="15">
        <v>25000</v>
      </c>
    </row>
    <row r="525" spans="1:8" ht="14" thickBot="1" x14ac:dyDescent="0.2">
      <c r="A525">
        <v>1743000770</v>
      </c>
      <c r="B525" t="s">
        <v>740</v>
      </c>
      <c r="C525" s="16" t="e">
        <f>VLOOKUP(A525,#REF!,3,FALSE)</f>
        <v>#REF!</v>
      </c>
      <c r="E525" s="15">
        <f>VLOOKUP(A525,'[1]תקציב 2012 נכון להיום'!$A$2:$E$1361,5,FALSE)</f>
        <v>2188190.25</v>
      </c>
      <c r="F525" s="15">
        <v>2380000</v>
      </c>
      <c r="G525" s="15">
        <v>2496034.7599999998</v>
      </c>
      <c r="H525" s="15">
        <v>2174545.21</v>
      </c>
    </row>
    <row r="526" spans="1:8" x14ac:dyDescent="0.15">
      <c r="A526">
        <v>1743000780</v>
      </c>
      <c r="B526" s="60" t="s">
        <v>580</v>
      </c>
      <c r="C526" s="16" t="e">
        <f>VLOOKUP(A526,#REF!,3,FALSE)</f>
        <v>#REF!</v>
      </c>
      <c r="D526" s="337" t="s">
        <v>1115</v>
      </c>
      <c r="E526" s="15">
        <f>VLOOKUP(A526,'[1]תקציב 2012 נכון להיום'!$A$2:$E$1361,5,FALSE)</f>
        <v>0</v>
      </c>
      <c r="F526" s="15">
        <v>1300</v>
      </c>
      <c r="G526" s="15">
        <v>0</v>
      </c>
      <c r="H526" s="15">
        <v>0</v>
      </c>
    </row>
    <row r="527" spans="1:8" ht="14" thickBot="1" x14ac:dyDescent="0.2">
      <c r="A527">
        <v>1743000910</v>
      </c>
      <c r="B527" s="60" t="s">
        <v>741</v>
      </c>
      <c r="C527" s="16" t="e">
        <f>VLOOKUP(A527,#REF!,3,FALSE)</f>
        <v>#REF!</v>
      </c>
      <c r="D527" s="339"/>
      <c r="E527" s="15">
        <f>VLOOKUP(A527,'[1]תקציב 2012 נכון להיום'!$A$2:$E$1361,5,FALSE)</f>
        <v>57328</v>
      </c>
      <c r="F527" s="15">
        <v>54142</v>
      </c>
      <c r="G527" s="15">
        <v>0</v>
      </c>
      <c r="H527" s="15">
        <v>0</v>
      </c>
    </row>
    <row r="528" spans="1:8" x14ac:dyDescent="0.15">
      <c r="A528">
        <v>1743001731</v>
      </c>
      <c r="B528" t="s">
        <v>742</v>
      </c>
      <c r="C528" s="16" t="e">
        <f>VLOOKUP(A528,#REF!,3,FALSE)</f>
        <v>#REF!</v>
      </c>
      <c r="D528" s="20"/>
      <c r="E528" s="15">
        <f>VLOOKUP(A528,'[1]תקציב 2012 נכון להיום'!$A$2:$E$1361,5,FALSE)</f>
        <v>32862.720000000001</v>
      </c>
      <c r="F528" s="15">
        <v>44000</v>
      </c>
      <c r="G528" s="15">
        <v>46349.33</v>
      </c>
      <c r="H528" s="15">
        <v>45208.01</v>
      </c>
    </row>
    <row r="529" spans="1:8" x14ac:dyDescent="0.15">
      <c r="A529">
        <v>1743002731</v>
      </c>
      <c r="B529" t="s">
        <v>743</v>
      </c>
      <c r="C529" s="16" t="e">
        <f>VLOOKUP(A529,#REF!,3,FALSE)</f>
        <v>#REF!</v>
      </c>
      <c r="D529" s="20"/>
      <c r="E529" s="15">
        <f>VLOOKUP(A529,'[1]תקציב 2012 נכון להיום'!$A$2:$E$1361,5,FALSE)</f>
        <v>33772.82</v>
      </c>
      <c r="F529" s="15">
        <v>36000</v>
      </c>
      <c r="G529" s="15">
        <v>38545.22</v>
      </c>
      <c r="H529" s="15">
        <v>12395.19</v>
      </c>
    </row>
    <row r="530" spans="1:8" x14ac:dyDescent="0.15">
      <c r="A530">
        <v>1743003731</v>
      </c>
      <c r="B530" t="s">
        <v>744</v>
      </c>
      <c r="C530" s="16" t="e">
        <f>VLOOKUP(A530,#REF!,3,FALSE)</f>
        <v>#REF!</v>
      </c>
      <c r="D530" s="20"/>
      <c r="E530" s="15">
        <f>VLOOKUP(A530,'[1]תקציב 2012 נכון להיום'!$A$2:$E$1361,5,FALSE)</f>
        <v>13394.57</v>
      </c>
      <c r="F530" s="15">
        <v>8000</v>
      </c>
      <c r="G530" s="15">
        <v>12316.53</v>
      </c>
      <c r="H530" s="15">
        <v>15927.6</v>
      </c>
    </row>
    <row r="531" spans="1:8" x14ac:dyDescent="0.15">
      <c r="A531">
        <v>1743004731</v>
      </c>
      <c r="B531" t="s">
        <v>745</v>
      </c>
      <c r="C531" s="16" t="e">
        <f>VLOOKUP(A531,#REF!,3,FALSE)</f>
        <v>#REF!</v>
      </c>
      <c r="D531" s="20"/>
      <c r="E531" s="15">
        <f>VLOOKUP(A531,'[1]תקציב 2012 נכון להיום'!$A$2:$E$1361,5,FALSE)</f>
        <v>3590.33</v>
      </c>
      <c r="F531" s="15">
        <v>5000</v>
      </c>
      <c r="G531" s="15">
        <v>3167.94</v>
      </c>
      <c r="H531" s="15">
        <v>6484.67</v>
      </c>
    </row>
    <row r="532" spans="1:8" x14ac:dyDescent="0.15">
      <c r="A532">
        <v>1743005731</v>
      </c>
      <c r="B532" t="s">
        <v>746</v>
      </c>
      <c r="C532" s="16" t="e">
        <f>VLOOKUP(A532,#REF!,3,FALSE)</f>
        <v>#REF!</v>
      </c>
      <c r="D532" s="20"/>
      <c r="E532" s="15">
        <f>VLOOKUP(A532,'[1]תקציב 2012 נכון להיום'!$A$2:$E$1361,5,FALSE)</f>
        <v>839</v>
      </c>
      <c r="F532" s="15">
        <v>1500</v>
      </c>
      <c r="G532" s="15">
        <v>804</v>
      </c>
      <c r="H532" s="15">
        <v>1173</v>
      </c>
    </row>
    <row r="533" spans="1:8" ht="14" thickBot="1" x14ac:dyDescent="0.2">
      <c r="A533">
        <v>1743006731</v>
      </c>
      <c r="B533" t="s">
        <v>747</v>
      </c>
      <c r="C533" s="16" t="e">
        <f>VLOOKUP(A533,#REF!,3,FALSE)</f>
        <v>#REF!</v>
      </c>
      <c r="D533" s="20"/>
      <c r="E533" s="15">
        <f>VLOOKUP(A533,'[1]תקציב 2012 נכון להיום'!$A$2:$E$1361,5,FALSE)</f>
        <v>872</v>
      </c>
      <c r="F533" s="15">
        <v>2500</v>
      </c>
      <c r="G533" s="15">
        <v>1060</v>
      </c>
      <c r="H533" s="15">
        <v>1760</v>
      </c>
    </row>
    <row r="534" spans="1:8" x14ac:dyDescent="0.15">
      <c r="A534">
        <v>1744000910</v>
      </c>
      <c r="B534" s="60" t="s">
        <v>738</v>
      </c>
      <c r="C534" s="16" t="e">
        <f>VLOOKUP(A534,#REF!,3,FALSE)</f>
        <v>#REF!</v>
      </c>
      <c r="D534" s="337" t="s">
        <v>1115</v>
      </c>
      <c r="E534" s="15">
        <f>VLOOKUP(A534,'[1]תקציב 2012 נכון להיום'!$A$2:$E$1361,5,FALSE)</f>
        <v>150897.1</v>
      </c>
      <c r="F534" s="15">
        <v>127797</v>
      </c>
      <c r="G534" s="15">
        <v>0</v>
      </c>
      <c r="H534" s="15">
        <v>29378</v>
      </c>
    </row>
    <row r="535" spans="1:8" x14ac:dyDescent="0.15">
      <c r="A535">
        <v>1744400521</v>
      </c>
      <c r="B535" s="60" t="s">
        <v>646</v>
      </c>
      <c r="C535" s="16" t="e">
        <f>VLOOKUP(A535,#REF!,3,FALSE)</f>
        <v>#REF!</v>
      </c>
      <c r="D535" s="338"/>
      <c r="E535" s="15">
        <f>VLOOKUP(A535,'[1]תקציב 2012 נכון להיום'!$A$2:$E$1361,5,FALSE)</f>
        <v>0</v>
      </c>
      <c r="F535" s="15">
        <v>1000</v>
      </c>
      <c r="G535" s="15">
        <v>0</v>
      </c>
      <c r="H535" s="15">
        <v>308</v>
      </c>
    </row>
    <row r="536" spans="1:8" x14ac:dyDescent="0.15">
      <c r="A536">
        <v>1744400522</v>
      </c>
      <c r="B536" s="60" t="s">
        <v>748</v>
      </c>
      <c r="C536" s="16" t="e">
        <f>VLOOKUP(A536,#REF!,3,FALSE)</f>
        <v>#REF!</v>
      </c>
      <c r="D536" s="338"/>
      <c r="E536" s="15">
        <f>VLOOKUP(A536,'[1]תקציב 2012 נכון להיום'!$A$2:$E$1361,5,FALSE)</f>
        <v>0</v>
      </c>
      <c r="F536" s="15">
        <v>1000</v>
      </c>
      <c r="G536" s="15">
        <v>1000</v>
      </c>
      <c r="H536" s="15">
        <v>1000</v>
      </c>
    </row>
    <row r="537" spans="1:8" ht="14" thickBot="1" x14ac:dyDescent="0.2">
      <c r="A537">
        <v>1744400750</v>
      </c>
      <c r="B537" s="60" t="s">
        <v>749</v>
      </c>
      <c r="C537" s="16" t="e">
        <f>VLOOKUP(A537,#REF!,3,FALSE)</f>
        <v>#REF!</v>
      </c>
      <c r="D537" s="339"/>
      <c r="E537" s="15">
        <f>VLOOKUP(A537,'[1]תקציב 2012 נכון להיום'!$A$2:$E$1361,5,FALSE)</f>
        <v>0</v>
      </c>
      <c r="F537" s="15">
        <v>4000</v>
      </c>
      <c r="G537" s="15">
        <v>4000</v>
      </c>
      <c r="H537" s="15">
        <v>6000</v>
      </c>
    </row>
    <row r="538" spans="1:8" ht="15" thickBot="1" x14ac:dyDescent="0.2">
      <c r="A538">
        <v>1745000810</v>
      </c>
      <c r="B538" t="s">
        <v>750</v>
      </c>
      <c r="C538" s="16" t="e">
        <f>VLOOKUP(A538,#REF!,3,FALSE)</f>
        <v>#REF!</v>
      </c>
      <c r="D538" s="18" t="s">
        <v>1113</v>
      </c>
      <c r="E538" s="15">
        <f>VLOOKUP(A538,'[1]תקציב 2012 נכון להיום'!$A$2:$E$1361,5,FALSE)</f>
        <v>312851</v>
      </c>
      <c r="F538" s="15">
        <v>312851</v>
      </c>
      <c r="G538" s="15">
        <v>276000</v>
      </c>
      <c r="H538" s="15">
        <v>320000</v>
      </c>
    </row>
    <row r="539" spans="1:8" x14ac:dyDescent="0.15">
      <c r="A539">
        <v>1746000430</v>
      </c>
      <c r="B539" t="s">
        <v>751</v>
      </c>
      <c r="C539" s="16" t="e">
        <f>VLOOKUP(A539,#REF!,3,FALSE)</f>
        <v>#REF!</v>
      </c>
      <c r="E539" s="15">
        <f>VLOOKUP(A539,'[1]תקציב 2012 נכון להיום'!$A$2:$E$1361,5,FALSE)</f>
        <v>592156.1</v>
      </c>
      <c r="F539" s="15">
        <v>970000</v>
      </c>
      <c r="G539" s="15">
        <v>2048978.89</v>
      </c>
      <c r="H539" s="15">
        <v>3051827.89</v>
      </c>
    </row>
    <row r="540" spans="1:8" x14ac:dyDescent="0.15">
      <c r="A540">
        <v>1746000720</v>
      </c>
      <c r="B540" t="s">
        <v>752</v>
      </c>
      <c r="C540" s="16" t="e">
        <f>VLOOKUP(A540,#REF!,3,FALSE)</f>
        <v>#REF!</v>
      </c>
      <c r="E540" s="15">
        <f>VLOOKUP(A540,'[1]תקציב 2012 נכון להיום'!$A$2:$E$1361,5,FALSE)</f>
        <v>76294.66</v>
      </c>
      <c r="F540" s="15">
        <v>100000</v>
      </c>
      <c r="G540" s="15">
        <v>129158.8</v>
      </c>
      <c r="H540" s="15">
        <v>149937</v>
      </c>
    </row>
    <row r="541" spans="1:8" x14ac:dyDescent="0.15">
      <c r="A541">
        <v>1746000731</v>
      </c>
      <c r="B541" t="s">
        <v>753</v>
      </c>
      <c r="C541" s="16" t="e">
        <f>VLOOKUP(A541,#REF!,3,FALSE)</f>
        <v>#REF!</v>
      </c>
      <c r="E541" s="15">
        <f>VLOOKUP(A541,'[1]תקציב 2012 נכון להיום'!$A$2:$E$1361,5,FALSE)</f>
        <v>5093.75</v>
      </c>
      <c r="F541" s="15">
        <v>1500</v>
      </c>
      <c r="G541" s="15">
        <v>3054</v>
      </c>
      <c r="H541" s="15">
        <v>680</v>
      </c>
    </row>
    <row r="542" spans="1:8" x14ac:dyDescent="0.15">
      <c r="A542">
        <v>1746000732</v>
      </c>
      <c r="B542" t="s">
        <v>754</v>
      </c>
      <c r="C542" s="16" t="e">
        <f>VLOOKUP(A542,#REF!,3,FALSE)</f>
        <v>#REF!</v>
      </c>
      <c r="E542" s="15">
        <f>VLOOKUP(A542,'[1]תקציב 2012 נכון להיום'!$A$2:$E$1361,5,FALSE)</f>
        <v>2297</v>
      </c>
      <c r="F542" s="15">
        <v>4000</v>
      </c>
      <c r="G542" s="15">
        <v>2727</v>
      </c>
      <c r="H542" s="15">
        <v>2807</v>
      </c>
    </row>
    <row r="543" spans="1:8" x14ac:dyDescent="0.15">
      <c r="A543">
        <v>1746000740</v>
      </c>
      <c r="B543" t="s">
        <v>755</v>
      </c>
      <c r="C543" s="16" t="e">
        <f>VLOOKUP(A543,#REF!,3,FALSE)</f>
        <v>#REF!</v>
      </c>
      <c r="E543" s="15">
        <f>VLOOKUP(A543,'[1]תקציב 2012 נכון להיום'!$A$2:$E$1361,5,FALSE)</f>
        <v>44992</v>
      </c>
      <c r="F543" s="15">
        <v>45000</v>
      </c>
      <c r="G543" s="15">
        <v>39674</v>
      </c>
      <c r="H543" s="15">
        <v>41936.99</v>
      </c>
    </row>
    <row r="544" spans="1:8" x14ac:dyDescent="0.15">
      <c r="A544">
        <v>1746000750</v>
      </c>
      <c r="B544" t="s">
        <v>756</v>
      </c>
      <c r="C544" s="16" t="e">
        <f>VLOOKUP(A544,#REF!,3,FALSE)</f>
        <v>#REF!</v>
      </c>
      <c r="E544" s="15">
        <f>VLOOKUP(A544,'[1]תקציב 2012 נכון להיום'!$A$2:$E$1361,5,FALSE)</f>
        <v>2438607.44</v>
      </c>
      <c r="F544" s="15">
        <v>3163000</v>
      </c>
      <c r="G544" s="15">
        <v>3332480.36</v>
      </c>
      <c r="H544" s="15">
        <v>3737687.87</v>
      </c>
    </row>
    <row r="545" spans="1:8" x14ac:dyDescent="0.15">
      <c r="A545">
        <v>1746000751</v>
      </c>
      <c r="B545" t="s">
        <v>757</v>
      </c>
      <c r="C545" s="16" t="e">
        <f>VLOOKUP(A545,#REF!,3,FALSE)</f>
        <v>#REF!</v>
      </c>
      <c r="E545" s="15">
        <f>VLOOKUP(A545,'[1]תקציב 2012 נכון להיום'!$A$2:$E$1361,5,FALSE)</f>
        <v>95624.1</v>
      </c>
      <c r="F545" s="15">
        <v>100000</v>
      </c>
      <c r="G545" s="15">
        <v>0</v>
      </c>
      <c r="H545" s="15">
        <v>149942</v>
      </c>
    </row>
    <row r="546" spans="1:8" x14ac:dyDescent="0.15">
      <c r="A546">
        <v>1746000752</v>
      </c>
      <c r="B546" t="s">
        <v>758</v>
      </c>
      <c r="C546" s="16" t="e">
        <f>VLOOKUP(A546,#REF!,3,FALSE)</f>
        <v>#REF!</v>
      </c>
      <c r="E546" s="15">
        <f>VLOOKUP(A546,'[1]תקציב 2012 נכון להיום'!$A$2:$E$1361,5,FALSE)</f>
        <v>565649</v>
      </c>
      <c r="F546" s="15">
        <v>600000</v>
      </c>
      <c r="G546" s="15">
        <v>466472</v>
      </c>
      <c r="H546" s="15">
        <v>0</v>
      </c>
    </row>
    <row r="547" spans="1:8" x14ac:dyDescent="0.15">
      <c r="A547">
        <v>1746000770</v>
      </c>
      <c r="B547" t="s">
        <v>759</v>
      </c>
      <c r="C547" s="16" t="e">
        <f>VLOOKUP(A547,#REF!,3,FALSE)</f>
        <v>#REF!</v>
      </c>
      <c r="E547" s="15">
        <f>VLOOKUP(A547,'[1]תקציב 2012 נכון להיום'!$A$2:$E$1361,5,FALSE)</f>
        <v>10392.23</v>
      </c>
      <c r="F547" s="15">
        <v>15400</v>
      </c>
      <c r="G547" s="15">
        <v>3731</v>
      </c>
      <c r="H547" s="15">
        <v>7894.87</v>
      </c>
    </row>
    <row r="548" spans="1:8" x14ac:dyDescent="0.15">
      <c r="A548">
        <v>1746000780</v>
      </c>
      <c r="B548" t="s">
        <v>760</v>
      </c>
      <c r="C548" s="16" t="e">
        <f>VLOOKUP(A548,#REF!,3,FALSE)</f>
        <v>#REF!</v>
      </c>
      <c r="E548" s="15">
        <f>VLOOKUP(A548,'[1]תקציב 2012 נכון להיום'!$A$2:$E$1361,5,FALSE)</f>
        <v>8956.85</v>
      </c>
      <c r="F548" s="15">
        <v>18000</v>
      </c>
      <c r="G548" s="15">
        <v>17658.11</v>
      </c>
      <c r="H548" s="15">
        <v>17962</v>
      </c>
    </row>
    <row r="549" spans="1:8" x14ac:dyDescent="0.15">
      <c r="A549">
        <v>1746000931</v>
      </c>
      <c r="B549" t="s">
        <v>761</v>
      </c>
      <c r="C549" s="16" t="e">
        <f>VLOOKUP(A549,#REF!,3,FALSE)</f>
        <v>#REF!</v>
      </c>
      <c r="E549" s="15">
        <f>VLOOKUP(A549,'[1]תקציב 2012 נכון להיום'!$A$2:$E$1361,5,FALSE)</f>
        <v>34946</v>
      </c>
      <c r="F549" s="15">
        <v>38000</v>
      </c>
      <c r="G549" s="15">
        <v>37709</v>
      </c>
      <c r="H549" s="15">
        <v>38050</v>
      </c>
    </row>
    <row r="550" spans="1:8" x14ac:dyDescent="0.15">
      <c r="A550">
        <v>1746100560</v>
      </c>
      <c r="B550" t="s">
        <v>762</v>
      </c>
      <c r="C550" s="16" t="e">
        <f>VLOOKUP(A550,#REF!,3,FALSE)</f>
        <v>#REF!</v>
      </c>
      <c r="E550" s="15">
        <f>VLOOKUP(A550,'[1]תקציב 2012 נכון להיום'!$A$2:$E$1361,5,FALSE)</f>
        <v>1242.07</v>
      </c>
      <c r="F550" s="15">
        <v>4000</v>
      </c>
      <c r="G550" s="15">
        <v>0</v>
      </c>
      <c r="H550" s="15">
        <v>0</v>
      </c>
    </row>
    <row r="551" spans="1:8" x14ac:dyDescent="0.15">
      <c r="A551">
        <v>1746100720</v>
      </c>
      <c r="B551" t="s">
        <v>763</v>
      </c>
      <c r="C551" s="16" t="e">
        <f>VLOOKUP(A551,#REF!,3,FALSE)</f>
        <v>#REF!</v>
      </c>
      <c r="E551" s="15">
        <f>VLOOKUP(A551,'[1]תקציב 2012 נכון להיום'!$A$2:$E$1361,5,FALSE)</f>
        <v>142923.9</v>
      </c>
      <c r="F551" s="15">
        <v>291516</v>
      </c>
      <c r="G551" s="15">
        <v>200151.12</v>
      </c>
      <c r="H551" s="15">
        <v>211460.73</v>
      </c>
    </row>
    <row r="552" spans="1:8" x14ac:dyDescent="0.15">
      <c r="A552">
        <v>1746100731</v>
      </c>
      <c r="B552" t="s">
        <v>764</v>
      </c>
      <c r="C552" s="16" t="e">
        <f>VLOOKUP(A552,#REF!,3,FALSE)</f>
        <v>#REF!</v>
      </c>
      <c r="E552" s="15">
        <f>VLOOKUP(A552,'[1]תקציב 2012 נכון להיום'!$A$2:$E$1361,5,FALSE)</f>
        <v>26872.77</v>
      </c>
      <c r="F552" s="15">
        <v>43000</v>
      </c>
      <c r="G552" s="15">
        <v>50418.86</v>
      </c>
      <c r="H552" s="15">
        <v>22588.82</v>
      </c>
    </row>
    <row r="553" spans="1:8" x14ac:dyDescent="0.15">
      <c r="A553">
        <v>1746100732</v>
      </c>
      <c r="B553" t="s">
        <v>765</v>
      </c>
      <c r="C553" s="16" t="e">
        <f>VLOOKUP(A553,#REF!,3,FALSE)</f>
        <v>#REF!</v>
      </c>
      <c r="E553" s="15">
        <f>VLOOKUP(A553,'[1]תקציב 2012 נכון להיום'!$A$2:$E$1361,5,FALSE)</f>
        <v>19467.32</v>
      </c>
      <c r="F553" s="15">
        <v>0</v>
      </c>
      <c r="G553" s="15">
        <v>0</v>
      </c>
      <c r="H553" s="15">
        <v>0</v>
      </c>
    </row>
    <row r="554" spans="1:8" x14ac:dyDescent="0.15">
      <c r="A554">
        <v>1746100733</v>
      </c>
      <c r="B554" t="s">
        <v>766</v>
      </c>
      <c r="C554" s="16" t="e">
        <f>VLOOKUP(A554,#REF!,3,FALSE)</f>
        <v>#REF!</v>
      </c>
      <c r="E554" s="15">
        <f>VLOOKUP(A554,'[1]תקציב 2012 נכון להיום'!$A$2:$E$1361,5,FALSE)</f>
        <v>18288.849999999999</v>
      </c>
      <c r="F554" s="15">
        <v>0</v>
      </c>
      <c r="G554" s="15">
        <v>0</v>
      </c>
      <c r="H554" s="15">
        <v>0</v>
      </c>
    </row>
    <row r="555" spans="1:8" x14ac:dyDescent="0.15">
      <c r="A555">
        <v>1746100740</v>
      </c>
      <c r="B555" t="s">
        <v>767</v>
      </c>
      <c r="C555" s="16" t="e">
        <f>VLOOKUP(A555,#REF!,3,FALSE)</f>
        <v>#REF!</v>
      </c>
      <c r="E555" s="15">
        <f>VLOOKUP(A555,'[1]תקציב 2012 נכון להיום'!$A$2:$E$1361,5,FALSE)</f>
        <v>10107.64</v>
      </c>
      <c r="F555" s="15">
        <v>21000</v>
      </c>
      <c r="G555" s="15">
        <v>24291.56</v>
      </c>
      <c r="H555" s="15">
        <v>28490.05</v>
      </c>
    </row>
    <row r="556" spans="1:8" x14ac:dyDescent="0.15">
      <c r="A556">
        <v>1746100780</v>
      </c>
      <c r="B556" t="s">
        <v>768</v>
      </c>
      <c r="C556" s="16" t="e">
        <f>VLOOKUP(A556,#REF!,3,FALSE)</f>
        <v>#REF!</v>
      </c>
      <c r="E556" s="15">
        <f>VLOOKUP(A556,'[1]תקציב 2012 נכון להיום'!$A$2:$E$1361,5,FALSE)</f>
        <v>4600</v>
      </c>
      <c r="F556" s="15">
        <v>4500</v>
      </c>
      <c r="G556" s="15">
        <v>5039.3900000000003</v>
      </c>
      <c r="H556" s="15">
        <v>4392.5</v>
      </c>
    </row>
    <row r="557" spans="1:8" x14ac:dyDescent="0.15">
      <c r="A557">
        <v>1746200731</v>
      </c>
      <c r="B557" t="s">
        <v>769</v>
      </c>
      <c r="C557" s="16" t="e">
        <f>VLOOKUP(A557,#REF!,3,FALSE)</f>
        <v>#REF!</v>
      </c>
      <c r="E557" s="15">
        <f>VLOOKUP(A557,'[1]תקציב 2012 נכון להיום'!$A$2:$E$1361,5,FALSE)</f>
        <v>12644</v>
      </c>
      <c r="F557" s="15">
        <v>14000</v>
      </c>
      <c r="G557" s="15">
        <v>12829.76</v>
      </c>
      <c r="H557" s="15">
        <v>0</v>
      </c>
    </row>
    <row r="558" spans="1:8" x14ac:dyDescent="0.15">
      <c r="A558">
        <v>1746300731</v>
      </c>
      <c r="B558" t="s">
        <v>770</v>
      </c>
      <c r="C558" s="16" t="e">
        <f>VLOOKUP(A558,#REF!,3,FALSE)</f>
        <v>#REF!</v>
      </c>
      <c r="E558" s="15">
        <f>VLOOKUP(A558,'[1]תקציב 2012 נכון להיום'!$A$2:$E$1361,5,FALSE)</f>
        <v>13566.96</v>
      </c>
      <c r="F558" s="15">
        <v>0</v>
      </c>
      <c r="G558" s="15">
        <v>0</v>
      </c>
      <c r="H558" s="15">
        <v>0</v>
      </c>
    </row>
    <row r="559" spans="1:8" x14ac:dyDescent="0.15">
      <c r="A559">
        <v>1747000731</v>
      </c>
      <c r="B559" t="s">
        <v>771</v>
      </c>
      <c r="C559" s="16" t="e">
        <f>VLOOKUP(A559,#REF!,3,FALSE)</f>
        <v>#REF!</v>
      </c>
      <c r="E559" s="15">
        <f>VLOOKUP(A559,'[1]תקציב 2012 נכון להיום'!$A$2:$E$1361,5,FALSE)</f>
        <v>5154.28</v>
      </c>
      <c r="F559" s="15">
        <v>14000</v>
      </c>
      <c r="G559" s="15">
        <v>14750.57</v>
      </c>
      <c r="H559" s="15">
        <v>11373.3</v>
      </c>
    </row>
    <row r="560" spans="1:8" ht="14" thickBot="1" x14ac:dyDescent="0.2">
      <c r="A560">
        <v>1747200432</v>
      </c>
      <c r="B560" s="59" t="s">
        <v>772</v>
      </c>
      <c r="C560" s="16" t="e">
        <f>VLOOKUP(A560,#REF!,3,FALSE)</f>
        <v>#REF!</v>
      </c>
      <c r="E560" s="15">
        <f>VLOOKUP(A560,'[1]תקציב 2012 נכון להיום'!$A$2:$E$1361,5,FALSE)</f>
        <v>0</v>
      </c>
      <c r="F560" s="15">
        <v>65000</v>
      </c>
      <c r="G560" s="15">
        <v>0</v>
      </c>
      <c r="H560" s="15">
        <v>15723.6</v>
      </c>
    </row>
    <row r="561" spans="1:8" ht="15" thickBot="1" x14ac:dyDescent="0.2">
      <c r="A561">
        <v>1747200780</v>
      </c>
      <c r="B561" t="s">
        <v>773</v>
      </c>
      <c r="C561" s="16" t="e">
        <f>VLOOKUP(A561,#REF!,3,FALSE)</f>
        <v>#REF!</v>
      </c>
      <c r="D561" s="18" t="s">
        <v>1113</v>
      </c>
      <c r="E561" s="15">
        <f>VLOOKUP(A561,'[1]תקציב 2012 נכון להיום'!$A$2:$E$1361,5,FALSE)</f>
        <v>900476.48</v>
      </c>
      <c r="F561" s="15">
        <v>840000</v>
      </c>
      <c r="G561" s="15">
        <v>877976.45</v>
      </c>
      <c r="H561" s="15">
        <v>858072.83</v>
      </c>
    </row>
    <row r="562" spans="1:8" x14ac:dyDescent="0.15">
      <c r="A562">
        <v>1747220731</v>
      </c>
      <c r="B562" t="s">
        <v>774</v>
      </c>
      <c r="C562" s="16" t="e">
        <f>VLOOKUP(A562,#REF!,3,FALSE)</f>
        <v>#REF!</v>
      </c>
      <c r="E562" s="15">
        <f>VLOOKUP(A562,'[1]תקציב 2012 נכון להיום'!$A$2:$E$1361,5,FALSE)</f>
        <v>8510.4599999999991</v>
      </c>
      <c r="F562" s="15">
        <v>0</v>
      </c>
      <c r="G562" s="15">
        <v>0</v>
      </c>
      <c r="H562" s="15">
        <v>0</v>
      </c>
    </row>
    <row r="563" spans="1:8" x14ac:dyDescent="0.15">
      <c r="A563">
        <v>1749000731</v>
      </c>
      <c r="B563" t="s">
        <v>775</v>
      </c>
      <c r="C563" s="16" t="e">
        <f>VLOOKUP(A563,#REF!,3,FALSE)</f>
        <v>#REF!</v>
      </c>
      <c r="E563" s="15">
        <f>VLOOKUP(A563,'[1]תקציב 2012 נכון להיום'!$A$2:$E$1361,5,FALSE)</f>
        <v>17361.12</v>
      </c>
      <c r="F563" s="15">
        <v>28000</v>
      </c>
      <c r="G563" s="15">
        <v>19538.7</v>
      </c>
      <c r="H563" s="15">
        <v>30787.19</v>
      </c>
    </row>
    <row r="564" spans="1:8" ht="14" thickBot="1" x14ac:dyDescent="0.2">
      <c r="A564">
        <v>1749000750</v>
      </c>
      <c r="B564" t="s">
        <v>714</v>
      </c>
      <c r="C564" s="16" t="e">
        <f>VLOOKUP(A564,#REF!,3,FALSE)</f>
        <v>#REF!</v>
      </c>
      <c r="E564" s="15">
        <f>VLOOKUP(A564,'[1]תקציב 2012 נכון להיום'!$A$2:$E$1361,5,FALSE)</f>
        <v>8088.6</v>
      </c>
      <c r="F564" s="15">
        <v>20000</v>
      </c>
      <c r="G564" s="15">
        <v>6992</v>
      </c>
      <c r="H564" s="15">
        <v>9969</v>
      </c>
    </row>
    <row r="565" spans="1:8" ht="15" thickBot="1" x14ac:dyDescent="0.2">
      <c r="A565">
        <v>1751000780</v>
      </c>
      <c r="B565" t="s">
        <v>776</v>
      </c>
      <c r="C565" s="16" t="e">
        <f>VLOOKUP(A565,#REF!,3,FALSE)</f>
        <v>#REF!</v>
      </c>
      <c r="D565" s="18" t="s">
        <v>1117</v>
      </c>
      <c r="E565" s="15">
        <f>VLOOKUP(A565,'[1]תקציב 2012 נכון להיום'!$A$2:$E$1361,5,FALSE)</f>
        <v>815483.24</v>
      </c>
      <c r="F565" s="15">
        <v>815500</v>
      </c>
      <c r="G565" s="15">
        <v>553592.74</v>
      </c>
      <c r="H565" s="15">
        <v>467016.63</v>
      </c>
    </row>
    <row r="566" spans="1:8" ht="14" thickBot="1" x14ac:dyDescent="0.2">
      <c r="A566">
        <v>1751001731</v>
      </c>
      <c r="B566" t="s">
        <v>777</v>
      </c>
      <c r="C566" s="16" t="e">
        <f>VLOOKUP(A566,#REF!,3,FALSE)</f>
        <v>#REF!</v>
      </c>
      <c r="E566" s="15">
        <f>VLOOKUP(A566,'[1]תקציב 2012 נכון להיום'!$A$2:$E$1361,5,FALSE)</f>
        <v>20184.84</v>
      </c>
      <c r="F566" s="15">
        <v>40000</v>
      </c>
      <c r="G566" s="15">
        <v>31846.06</v>
      </c>
      <c r="H566" s="15">
        <v>31436.57</v>
      </c>
    </row>
    <row r="567" spans="1:8" ht="15" thickBot="1" x14ac:dyDescent="0.2">
      <c r="A567">
        <v>1751001780</v>
      </c>
      <c r="B567" s="59" t="s">
        <v>778</v>
      </c>
      <c r="C567" s="16" t="e">
        <f>VLOOKUP(A567,#REF!,3,FALSE)</f>
        <v>#REF!</v>
      </c>
      <c r="D567" s="18" t="s">
        <v>1117</v>
      </c>
      <c r="E567" s="15">
        <f>VLOOKUP(A567,'[1]תקציב 2012 נכון להיום'!$A$2:$E$1361,5,FALSE)</f>
        <v>248170.46</v>
      </c>
      <c r="F567" s="15">
        <v>250000</v>
      </c>
      <c r="G567" s="15">
        <v>250000</v>
      </c>
      <c r="H567" s="15">
        <v>505909.12</v>
      </c>
    </row>
    <row r="568" spans="1:8" ht="14" thickBot="1" x14ac:dyDescent="0.2">
      <c r="A568">
        <v>1751002731</v>
      </c>
      <c r="B568" t="s">
        <v>779</v>
      </c>
      <c r="C568" s="16" t="e">
        <f>VLOOKUP(A568,#REF!,3,FALSE)</f>
        <v>#REF!</v>
      </c>
      <c r="E568" s="15">
        <f>VLOOKUP(A568,'[1]תקציב 2012 נכון להיום'!$A$2:$E$1361,5,FALSE)</f>
        <v>1057</v>
      </c>
      <c r="F568" s="15">
        <v>2500</v>
      </c>
      <c r="G568" s="15">
        <v>819</v>
      </c>
      <c r="H568" s="15">
        <v>1812</v>
      </c>
    </row>
    <row r="569" spans="1:8" ht="15" thickBot="1" x14ac:dyDescent="0.2">
      <c r="A569">
        <v>1751002780</v>
      </c>
      <c r="B569" t="s">
        <v>780</v>
      </c>
      <c r="C569" s="16" t="e">
        <f>VLOOKUP(A569,#REF!,3,FALSE)</f>
        <v>#REF!</v>
      </c>
      <c r="D569" s="18" t="s">
        <v>1117</v>
      </c>
      <c r="E569" s="15">
        <f>VLOOKUP(A569,'[1]תקציב 2012 נכון להיום'!$A$2:$E$1361,5,FALSE)</f>
        <v>272585.71000000002</v>
      </c>
      <c r="F569" s="15">
        <v>355000</v>
      </c>
      <c r="G569" s="15">
        <v>437080.87</v>
      </c>
      <c r="H569" s="15">
        <v>0</v>
      </c>
    </row>
    <row r="570" spans="1:8" ht="14" thickBot="1" x14ac:dyDescent="0.2">
      <c r="A570">
        <v>1751003731</v>
      </c>
      <c r="B570" t="s">
        <v>781</v>
      </c>
      <c r="C570" s="16" t="e">
        <f>VLOOKUP(A570,#REF!,3,FALSE)</f>
        <v>#REF!</v>
      </c>
      <c r="E570" s="15">
        <f>VLOOKUP(A570,'[1]תקציב 2012 נכון להיום'!$A$2:$E$1361,5,FALSE)</f>
        <v>839</v>
      </c>
      <c r="F570" s="15">
        <v>1500</v>
      </c>
      <c r="G570" s="15">
        <v>819</v>
      </c>
      <c r="H570" s="15">
        <v>1745</v>
      </c>
    </row>
    <row r="571" spans="1:8" x14ac:dyDescent="0.15">
      <c r="A571">
        <v>1751150780</v>
      </c>
      <c r="B571" s="59" t="s">
        <v>782</v>
      </c>
      <c r="C571" s="16" t="e">
        <f>VLOOKUP(A571,#REF!,3,FALSE)</f>
        <v>#REF!</v>
      </c>
      <c r="D571" s="337" t="s">
        <v>1118</v>
      </c>
      <c r="E571" s="15">
        <f>VLOOKUP(A571,'[1]תקציב 2012 נכון להיום'!$A$2:$E$1361,5,FALSE)</f>
        <v>500000</v>
      </c>
      <c r="F571" s="15">
        <v>500000</v>
      </c>
      <c r="G571" s="15">
        <v>0</v>
      </c>
      <c r="H571" s="15">
        <v>0</v>
      </c>
    </row>
    <row r="572" spans="1:8" ht="14" thickBot="1" x14ac:dyDescent="0.2">
      <c r="A572">
        <v>1752100810</v>
      </c>
      <c r="B572" s="59" t="s">
        <v>783</v>
      </c>
      <c r="C572" s="16" t="e">
        <f>VLOOKUP(A572,#REF!,3,FALSE)</f>
        <v>#REF!</v>
      </c>
      <c r="D572" s="339"/>
      <c r="E572" s="15">
        <f>VLOOKUP(A572,'[1]תקציב 2012 נכון להיום'!$A$2:$E$1361,5,FALSE)</f>
        <v>75643</v>
      </c>
      <c r="F572" s="15">
        <v>75000</v>
      </c>
      <c r="G572" s="15">
        <v>70744.850000000006</v>
      </c>
      <c r="H572" s="15">
        <v>59264</v>
      </c>
    </row>
    <row r="573" spans="1:8" x14ac:dyDescent="0.15">
      <c r="A573">
        <v>1761000420</v>
      </c>
      <c r="B573" t="s">
        <v>784</v>
      </c>
      <c r="C573" s="16" t="e">
        <f>VLOOKUP(A573,#REF!,3,FALSE)</f>
        <v>#REF!</v>
      </c>
      <c r="D573" s="337" t="s">
        <v>1119</v>
      </c>
      <c r="E573" s="15">
        <f>VLOOKUP(A573,'[1]תקציב 2012 נכון להיום'!$A$2:$E$1361,5,FALSE)</f>
        <v>16216.08</v>
      </c>
      <c r="F573" s="15">
        <v>17000</v>
      </c>
      <c r="G573" s="15">
        <v>15738.56</v>
      </c>
      <c r="H573" s="15">
        <v>15299.25</v>
      </c>
    </row>
    <row r="574" spans="1:8" x14ac:dyDescent="0.15">
      <c r="A574">
        <v>1761000470</v>
      </c>
      <c r="B574" t="s">
        <v>785</v>
      </c>
      <c r="C574" s="16" t="e">
        <f>VLOOKUP(A574,#REF!,3,FALSE)</f>
        <v>#REF!</v>
      </c>
      <c r="D574" s="338"/>
      <c r="E574" s="15">
        <f>VLOOKUP(A574,'[1]תקציב 2012 נכון להיום'!$A$2:$E$1361,5,FALSE)</f>
        <v>1718.7</v>
      </c>
      <c r="F574" s="15">
        <v>1500</v>
      </c>
      <c r="G574" s="15">
        <v>1500</v>
      </c>
      <c r="H574" s="15">
        <v>1276.42</v>
      </c>
    </row>
    <row r="575" spans="1:8" x14ac:dyDescent="0.15">
      <c r="A575">
        <v>1761000540</v>
      </c>
      <c r="B575" t="s">
        <v>786</v>
      </c>
      <c r="C575" s="16" t="e">
        <f>VLOOKUP(A575,#REF!,3,FALSE)</f>
        <v>#REF!</v>
      </c>
      <c r="D575" s="338"/>
      <c r="E575" s="15">
        <f>VLOOKUP(A575,'[1]תקציב 2012 נכון להיום'!$A$2:$E$1361,5,FALSE)</f>
        <v>2986.7</v>
      </c>
      <c r="F575" s="15">
        <v>8400</v>
      </c>
      <c r="G575" s="15">
        <v>4408.58</v>
      </c>
      <c r="H575" s="15">
        <v>6872.79</v>
      </c>
    </row>
    <row r="576" spans="1:8" x14ac:dyDescent="0.15">
      <c r="A576">
        <v>1761000731</v>
      </c>
      <c r="B576" t="s">
        <v>787</v>
      </c>
      <c r="C576" s="16" t="e">
        <f>VLOOKUP(A576,#REF!,3,FALSE)</f>
        <v>#REF!</v>
      </c>
      <c r="D576" s="338"/>
      <c r="E576" s="15">
        <f>VLOOKUP(A576,'[1]תקציב 2012 נכון להיום'!$A$2:$E$1361,5,FALSE)</f>
        <v>10648.32</v>
      </c>
      <c r="F576" s="15">
        <v>12000</v>
      </c>
      <c r="G576" s="15">
        <v>18883.29</v>
      </c>
      <c r="H576" s="15">
        <v>15413.15</v>
      </c>
    </row>
    <row r="577" spans="1:8" x14ac:dyDescent="0.15">
      <c r="A577">
        <v>1761000930</v>
      </c>
      <c r="B577" t="s">
        <v>788</v>
      </c>
      <c r="C577" s="16" t="e">
        <f>VLOOKUP(A577,#REF!,3,FALSE)</f>
        <v>#REF!</v>
      </c>
      <c r="D577" s="338"/>
      <c r="E577" s="15">
        <f>VLOOKUP(A577,'[1]תקציב 2012 נכון להיום'!$A$2:$E$1361,5,FALSE)</f>
        <v>615.13</v>
      </c>
      <c r="F577" s="15">
        <v>2000</v>
      </c>
      <c r="G577" s="15">
        <v>2133</v>
      </c>
      <c r="H577" s="15">
        <v>2033</v>
      </c>
    </row>
    <row r="578" spans="1:8" ht="14" thickBot="1" x14ac:dyDescent="0.2">
      <c r="A578">
        <v>1761100430</v>
      </c>
      <c r="B578" t="s">
        <v>789</v>
      </c>
      <c r="C578" s="16" t="e">
        <f>VLOOKUP(A578,#REF!,3,FALSE)</f>
        <v>#REF!</v>
      </c>
      <c r="D578" s="339"/>
      <c r="E578" s="15">
        <f>VLOOKUP(A578,'[1]תקציב 2012 נכון להיום'!$A$2:$E$1361,5,FALSE)</f>
        <v>248.89</v>
      </c>
      <c r="F578" s="15">
        <v>1500</v>
      </c>
      <c r="G578" s="15">
        <v>672.38</v>
      </c>
      <c r="H578" s="15">
        <v>1036.3699999999999</v>
      </c>
    </row>
    <row r="579" spans="1:8" x14ac:dyDescent="0.15">
      <c r="A579">
        <v>1764000511</v>
      </c>
      <c r="B579" t="s">
        <v>790</v>
      </c>
      <c r="C579" s="16" t="e">
        <f>VLOOKUP(A579,#REF!,3,FALSE)</f>
        <v>#REF!</v>
      </c>
      <c r="E579" s="15">
        <f>VLOOKUP(A579,'[1]תקציב 2012 נכון להיום'!$A$2:$E$1361,5,FALSE)</f>
        <v>5513.79</v>
      </c>
      <c r="F579" s="15">
        <v>7000</v>
      </c>
      <c r="G579" s="15">
        <v>0</v>
      </c>
      <c r="H579" s="15">
        <v>0</v>
      </c>
    </row>
    <row r="580" spans="1:8" x14ac:dyDescent="0.15">
      <c r="A580">
        <v>1764000560</v>
      </c>
      <c r="B580" t="s">
        <v>664</v>
      </c>
      <c r="C580" s="16" t="e">
        <f>VLOOKUP(A580,#REF!,3,FALSE)</f>
        <v>#REF!</v>
      </c>
      <c r="E580" s="15">
        <f>VLOOKUP(A580,'[1]תקציב 2012 נכון להיום'!$A$2:$E$1361,5,FALSE)</f>
        <v>1669.29</v>
      </c>
      <c r="F580" s="15">
        <v>6000</v>
      </c>
      <c r="G580" s="15">
        <v>0</v>
      </c>
      <c r="H580" s="15">
        <v>0</v>
      </c>
    </row>
    <row r="581" spans="1:8" ht="14" thickBot="1" x14ac:dyDescent="0.2">
      <c r="A581">
        <v>1764000731</v>
      </c>
      <c r="B581" t="s">
        <v>791</v>
      </c>
      <c r="C581" s="16" t="e">
        <f>VLOOKUP(A581,#REF!,3,FALSE)</f>
        <v>#REF!</v>
      </c>
      <c r="E581" s="15">
        <f>VLOOKUP(A581,'[1]תקציב 2012 נכון להיום'!$A$2:$E$1361,5,FALSE)</f>
        <v>17733.03</v>
      </c>
      <c r="F581" s="15">
        <v>35000</v>
      </c>
      <c r="G581" s="15">
        <v>28486.66</v>
      </c>
      <c r="H581" s="15">
        <v>38403.14</v>
      </c>
    </row>
    <row r="582" spans="1:8" x14ac:dyDescent="0.15">
      <c r="A582">
        <v>1764000760</v>
      </c>
      <c r="B582" t="s">
        <v>552</v>
      </c>
      <c r="C582" s="16" t="e">
        <f>VLOOKUP(A582,#REF!,3,FALSE)</f>
        <v>#REF!</v>
      </c>
      <c r="D582" s="337" t="s">
        <v>1113</v>
      </c>
      <c r="E582" s="15">
        <f>VLOOKUP(A582,'[1]תקציב 2012 נכון להיום'!$A$2:$E$1361,5,FALSE)</f>
        <v>0</v>
      </c>
      <c r="F582" s="15">
        <v>19000</v>
      </c>
      <c r="G582" s="15">
        <v>0</v>
      </c>
      <c r="H582" s="15">
        <v>0</v>
      </c>
    </row>
    <row r="583" spans="1:8" x14ac:dyDescent="0.15">
      <c r="A583">
        <v>1764000781</v>
      </c>
      <c r="B583" t="s">
        <v>792</v>
      </c>
      <c r="C583" s="16" t="e">
        <f>VLOOKUP(A583,#REF!,3,FALSE)</f>
        <v>#REF!</v>
      </c>
      <c r="D583" s="338"/>
      <c r="E583" s="15">
        <f>VLOOKUP(A583,'[1]תקציב 2012 נכון להיום'!$A$2:$E$1361,5,FALSE)</f>
        <v>161722.60999999999</v>
      </c>
      <c r="F583" s="15">
        <v>368000</v>
      </c>
      <c r="G583" s="15">
        <v>347640.52</v>
      </c>
      <c r="H583" s="15">
        <v>289964.75</v>
      </c>
    </row>
    <row r="584" spans="1:8" x14ac:dyDescent="0.15">
      <c r="A584">
        <v>1764000783</v>
      </c>
      <c r="B584" t="s">
        <v>1120</v>
      </c>
      <c r="C584" s="16" t="e">
        <f>VLOOKUP(A584,#REF!,3,FALSE)</f>
        <v>#REF!</v>
      </c>
      <c r="D584" s="338"/>
      <c r="E584" s="15">
        <f>VLOOKUP(A584,'[1]תקציב 2012 נכון להיום'!$A$2:$E$1361,5,FALSE)</f>
        <v>0</v>
      </c>
      <c r="F584" s="15">
        <v>150000</v>
      </c>
      <c r="G584" s="15">
        <v>2000</v>
      </c>
      <c r="H584" s="15">
        <v>41044</v>
      </c>
    </row>
    <row r="585" spans="1:8" x14ac:dyDescent="0.15">
      <c r="A585">
        <v>1764000810</v>
      </c>
      <c r="B585" t="s">
        <v>793</v>
      </c>
      <c r="C585" s="16" t="e">
        <f>VLOOKUP(A585,#REF!,3,FALSE)</f>
        <v>#REF!</v>
      </c>
      <c r="D585" s="338"/>
      <c r="E585" s="15">
        <f>VLOOKUP(A585,'[1]תקציב 2012 נכון להיום'!$A$2:$E$1361,5,FALSE)</f>
        <v>0</v>
      </c>
      <c r="F585" s="15">
        <v>8000</v>
      </c>
      <c r="G585" s="15">
        <v>0</v>
      </c>
      <c r="H585" s="15">
        <v>7999.92</v>
      </c>
    </row>
    <row r="586" spans="1:8" x14ac:dyDescent="0.15">
      <c r="A586">
        <v>1765000810</v>
      </c>
      <c r="B586" t="s">
        <v>794</v>
      </c>
      <c r="C586" s="16" t="e">
        <f>VLOOKUP(A586,#REF!,3,FALSE)</f>
        <v>#REF!</v>
      </c>
      <c r="D586" s="338"/>
      <c r="E586" s="15">
        <f>VLOOKUP(A586,'[1]תקציב 2012 נכון להיום'!$A$2:$E$1361,5,FALSE)</f>
        <v>15000</v>
      </c>
      <c r="F586" s="15">
        <v>24000</v>
      </c>
      <c r="G586" s="15">
        <v>24000</v>
      </c>
      <c r="H586" s="15">
        <v>24000</v>
      </c>
    </row>
    <row r="587" spans="1:8" ht="14" thickBot="1" x14ac:dyDescent="0.2">
      <c r="A587">
        <v>1765000811</v>
      </c>
      <c r="B587" t="s">
        <v>795</v>
      </c>
      <c r="C587" s="16" t="e">
        <f>VLOOKUP(A587,#REF!,3,FALSE)</f>
        <v>#REF!</v>
      </c>
      <c r="D587" s="339"/>
      <c r="E587" s="15">
        <f>VLOOKUP(A587,'[1]תקציב 2012 נכון להיום'!$A$2:$E$1361,5,FALSE)</f>
        <v>15299.12</v>
      </c>
      <c r="F587" s="15">
        <v>15000</v>
      </c>
      <c r="G587" s="15">
        <v>10256</v>
      </c>
      <c r="H587" s="15">
        <v>11100</v>
      </c>
    </row>
    <row r="588" spans="1:8" ht="14" thickBot="1" x14ac:dyDescent="0.2">
      <c r="A588">
        <v>1765100810</v>
      </c>
      <c r="B588" t="s">
        <v>796</v>
      </c>
      <c r="C588" s="16" t="e">
        <f>VLOOKUP(A588,#REF!,3,FALSE)</f>
        <v>#REF!</v>
      </c>
      <c r="E588" s="15">
        <f>VLOOKUP(A588,'[1]תקציב 2012 נכון להיום'!$A$2:$E$1361,5,FALSE)</f>
        <v>118900</v>
      </c>
      <c r="F588" s="15">
        <v>136000</v>
      </c>
      <c r="G588" s="15">
        <v>110000</v>
      </c>
      <c r="H588" s="15">
        <v>128082.99</v>
      </c>
    </row>
    <row r="589" spans="1:8" ht="15" thickBot="1" x14ac:dyDescent="0.2">
      <c r="A589">
        <v>1766000810</v>
      </c>
      <c r="B589" t="s">
        <v>797</v>
      </c>
      <c r="C589" s="16" t="e">
        <f>VLOOKUP(A589,#REF!,3,FALSE)</f>
        <v>#REF!</v>
      </c>
      <c r="D589" s="18" t="s">
        <v>1111</v>
      </c>
      <c r="E589" s="15">
        <f>VLOOKUP(A589,'[1]תקציב 2012 נכון להיום'!$A$2:$E$1361,5,FALSE)</f>
        <v>422000</v>
      </c>
      <c r="F589" s="15">
        <v>580000</v>
      </c>
      <c r="G589" s="15">
        <v>400000</v>
      </c>
      <c r="H589" s="15">
        <v>400000</v>
      </c>
    </row>
    <row r="590" spans="1:8" ht="14" thickBot="1" x14ac:dyDescent="0.2">
      <c r="A590">
        <v>1767000440</v>
      </c>
      <c r="B590" t="s">
        <v>558</v>
      </c>
      <c r="C590" s="16" t="e">
        <f>VLOOKUP(A590,#REF!,3,FALSE)</f>
        <v>#REF!</v>
      </c>
      <c r="E590" s="15">
        <f>VLOOKUP(A590,'[1]תקציב 2012 נכון להיום'!$A$2:$E$1361,5,FALSE)</f>
        <v>924250.14</v>
      </c>
      <c r="F590" s="15">
        <v>728479</v>
      </c>
      <c r="G590" s="15">
        <v>920723.7</v>
      </c>
      <c r="H590" s="15">
        <v>320802.12</v>
      </c>
    </row>
    <row r="591" spans="1:8" x14ac:dyDescent="0.15">
      <c r="A591">
        <v>1767000584</v>
      </c>
      <c r="B591" s="59" t="s">
        <v>798</v>
      </c>
      <c r="C591" s="16" t="e">
        <f>VLOOKUP(A591,#REF!,3,FALSE)</f>
        <v>#REF!</v>
      </c>
      <c r="D591" s="337" t="s">
        <v>1113</v>
      </c>
      <c r="E591" s="15">
        <f>VLOOKUP(A591,'[1]תקציב 2012 נכון להיום'!$A$2:$E$1361,5,FALSE)</f>
        <v>0</v>
      </c>
      <c r="F591" s="15">
        <v>18000</v>
      </c>
      <c r="G591" s="15">
        <v>8700</v>
      </c>
      <c r="H591" s="15">
        <v>2146</v>
      </c>
    </row>
    <row r="592" spans="1:8" x14ac:dyDescent="0.15">
      <c r="A592">
        <v>1769000550</v>
      </c>
      <c r="B592" t="s">
        <v>799</v>
      </c>
      <c r="C592" s="16" t="e">
        <f>VLOOKUP(A592,#REF!,3,FALSE)</f>
        <v>#REF!</v>
      </c>
      <c r="D592" s="338"/>
      <c r="E592" s="15">
        <f>VLOOKUP(A592,'[1]תקציב 2012 נכון להיום'!$A$2:$E$1361,5,FALSE)</f>
        <v>0</v>
      </c>
      <c r="F592" s="15">
        <v>2000</v>
      </c>
      <c r="G592" s="15">
        <v>0</v>
      </c>
      <c r="H592" s="15">
        <v>0</v>
      </c>
    </row>
    <row r="593" spans="1:8" ht="14" thickBot="1" x14ac:dyDescent="0.2">
      <c r="A593">
        <v>1769000780</v>
      </c>
      <c r="B593" t="s">
        <v>800</v>
      </c>
      <c r="C593" s="16" t="e">
        <f>VLOOKUP(A593,#REF!,3,FALSE)</f>
        <v>#REF!</v>
      </c>
      <c r="D593" s="339"/>
      <c r="E593" s="15">
        <f>VLOOKUP(A593,'[1]תקציב 2012 נכון להיום'!$A$2:$E$1361,5,FALSE)</f>
        <v>48996.01</v>
      </c>
      <c r="F593" s="15">
        <v>76000</v>
      </c>
      <c r="G593" s="15">
        <v>0</v>
      </c>
      <c r="H593" s="15">
        <v>0</v>
      </c>
    </row>
    <row r="594" spans="1:8" ht="15" thickBot="1" x14ac:dyDescent="0.2">
      <c r="A594">
        <v>1769000785</v>
      </c>
      <c r="B594" t="s">
        <v>801</v>
      </c>
      <c r="C594" s="16" t="e">
        <f>VLOOKUP(A594,#REF!,3,FALSE)</f>
        <v>#REF!</v>
      </c>
      <c r="D594" s="18" t="s">
        <v>1121</v>
      </c>
      <c r="E594" s="15">
        <f>VLOOKUP(A594,'[1]תקציב 2012 נכון להיום'!$A$2:$E$1361,5,FALSE)</f>
        <v>124000</v>
      </c>
      <c r="F594" s="15">
        <v>124000</v>
      </c>
      <c r="G594" s="15">
        <v>0</v>
      </c>
      <c r="H594" s="15">
        <v>0</v>
      </c>
    </row>
    <row r="595" spans="1:8" x14ac:dyDescent="0.15">
      <c r="A595">
        <v>1772000511</v>
      </c>
      <c r="B595" t="s">
        <v>802</v>
      </c>
      <c r="C595" s="16" t="e">
        <f>VLOOKUP(A595,#REF!,3,FALSE)</f>
        <v>#REF!</v>
      </c>
      <c r="E595" s="15">
        <f>VLOOKUP(A595,'[1]תקציב 2012 נכון להיום'!$A$2:$E$1361,5,FALSE)</f>
        <v>0</v>
      </c>
      <c r="F595" s="15">
        <v>1800</v>
      </c>
      <c r="G595" s="15">
        <v>754.69</v>
      </c>
      <c r="H595" s="15">
        <v>790.08</v>
      </c>
    </row>
    <row r="596" spans="1:8" x14ac:dyDescent="0.15">
      <c r="A596">
        <v>1772000561</v>
      </c>
      <c r="B596" t="s">
        <v>664</v>
      </c>
      <c r="C596" s="16" t="e">
        <f>VLOOKUP(A596,#REF!,3,FALSE)</f>
        <v>#REF!</v>
      </c>
      <c r="E596" s="15">
        <f>VLOOKUP(A596,'[1]תקציב 2012 נכון להיום'!$A$2:$E$1361,5,FALSE)</f>
        <v>820.48</v>
      </c>
      <c r="F596" s="15">
        <v>2000</v>
      </c>
      <c r="G596" s="15">
        <v>2369.14</v>
      </c>
      <c r="H596" s="15">
        <v>1949.01</v>
      </c>
    </row>
    <row r="597" spans="1:8" ht="14" thickBot="1" x14ac:dyDescent="0.2">
      <c r="A597">
        <v>1772000731</v>
      </c>
      <c r="B597" t="s">
        <v>803</v>
      </c>
      <c r="C597" s="16" t="e">
        <f>VLOOKUP(A597,#REF!,3,FALSE)</f>
        <v>#REF!</v>
      </c>
      <c r="E597" s="15">
        <f>VLOOKUP(A597,'[1]תקציב 2012 נכון להיום'!$A$2:$E$1361,5,FALSE)</f>
        <v>41824.94</v>
      </c>
      <c r="F597" s="15">
        <v>69000</v>
      </c>
      <c r="G597" s="15">
        <v>0</v>
      </c>
      <c r="H597" s="15">
        <v>0</v>
      </c>
    </row>
    <row r="598" spans="1:8" ht="15" thickBot="1" x14ac:dyDescent="0.2">
      <c r="A598">
        <v>1772000750</v>
      </c>
      <c r="B598" s="59" t="s">
        <v>714</v>
      </c>
      <c r="C598" s="16" t="e">
        <f>VLOOKUP(A598,#REF!,3,FALSE)</f>
        <v>#REF!</v>
      </c>
      <c r="D598" s="18" t="s">
        <v>1113</v>
      </c>
      <c r="E598" s="15">
        <f>VLOOKUP(A598,'[1]תקציב 2012 נכון להיום'!$A$2:$E$1361,5,FALSE)</f>
        <v>33837.599999999999</v>
      </c>
      <c r="F598" s="15">
        <v>158000</v>
      </c>
      <c r="G598" s="15">
        <v>128261.67</v>
      </c>
      <c r="H598" s="15">
        <v>74197.679999999993</v>
      </c>
    </row>
    <row r="599" spans="1:8" x14ac:dyDescent="0.15">
      <c r="A599">
        <v>1772000780</v>
      </c>
      <c r="B599" t="s">
        <v>580</v>
      </c>
      <c r="C599" s="16" t="e">
        <f>VLOOKUP(A599,#REF!,3,FALSE)</f>
        <v>#REF!</v>
      </c>
      <c r="E599" s="15">
        <f>VLOOKUP(A599,'[1]תקציב 2012 נכון להיום'!$A$2:$E$1361,5,FALSE)</f>
        <v>560.79999999999995</v>
      </c>
      <c r="F599" s="15">
        <v>1815</v>
      </c>
      <c r="G599" s="15">
        <v>5225.8</v>
      </c>
      <c r="H599" s="15">
        <v>4111.16</v>
      </c>
    </row>
    <row r="600" spans="1:8" x14ac:dyDescent="0.15">
      <c r="A600">
        <v>1772000910</v>
      </c>
      <c r="B600" t="s">
        <v>804</v>
      </c>
      <c r="C600" s="16" t="e">
        <f>VLOOKUP(A600,#REF!,3,FALSE)</f>
        <v>#REF!</v>
      </c>
      <c r="E600" s="15">
        <f>VLOOKUP(A600,'[1]תקציב 2012 נכון להיום'!$A$2:$E$1361,5,FALSE)</f>
        <v>1185</v>
      </c>
      <c r="F600" s="15">
        <v>1185</v>
      </c>
      <c r="G600" s="15">
        <v>0</v>
      </c>
      <c r="H600" s="15">
        <v>0</v>
      </c>
    </row>
    <row r="601" spans="1:8" x14ac:dyDescent="0.15">
      <c r="A601">
        <v>1781000422</v>
      </c>
      <c r="B601" t="s">
        <v>805</v>
      </c>
      <c r="C601" s="16" t="e">
        <f>VLOOKUP(A601,#REF!,3,FALSE)</f>
        <v>#REF!</v>
      </c>
      <c r="E601" s="15">
        <f>VLOOKUP(A601,'[1]תקציב 2012 נכון להיום'!$A$2:$E$1361,5,FALSE)</f>
        <v>0</v>
      </c>
      <c r="F601" s="15">
        <v>100</v>
      </c>
      <c r="G601" s="15">
        <v>0</v>
      </c>
      <c r="H601" s="15">
        <v>0</v>
      </c>
    </row>
    <row r="602" spans="1:8" x14ac:dyDescent="0.15">
      <c r="A602">
        <v>1781000440</v>
      </c>
      <c r="B602" t="s">
        <v>558</v>
      </c>
      <c r="C602" s="16" t="e">
        <f>VLOOKUP(A602,#REF!,3,FALSE)</f>
        <v>#REF!</v>
      </c>
      <c r="E602" s="15">
        <f>VLOOKUP(A602,'[1]תקציב 2012 נכון להיום'!$A$2:$E$1361,5,FALSE)</f>
        <v>4400</v>
      </c>
      <c r="F602" s="15">
        <v>4314</v>
      </c>
      <c r="G602" s="15">
        <v>5052.07</v>
      </c>
      <c r="H602" s="15">
        <v>3334.46</v>
      </c>
    </row>
    <row r="603" spans="1:8" x14ac:dyDescent="0.15">
      <c r="A603">
        <v>1781000521</v>
      </c>
      <c r="B603" t="s">
        <v>806</v>
      </c>
      <c r="C603" s="16" t="e">
        <f>VLOOKUP(A603,#REF!,3,FALSE)</f>
        <v>#REF!</v>
      </c>
      <c r="E603" s="15">
        <f>VLOOKUP(A603,'[1]תקציב 2012 נכון להיום'!$A$2:$E$1361,5,FALSE)</f>
        <v>0</v>
      </c>
      <c r="F603" s="15">
        <v>815</v>
      </c>
      <c r="G603" s="15">
        <v>2000</v>
      </c>
      <c r="H603" s="15">
        <v>1745</v>
      </c>
    </row>
    <row r="604" spans="1:8" x14ac:dyDescent="0.15">
      <c r="A604">
        <v>1781000560</v>
      </c>
      <c r="B604" t="s">
        <v>807</v>
      </c>
      <c r="C604" s="16" t="e">
        <f>VLOOKUP(A604,#REF!,3,FALSE)</f>
        <v>#REF!</v>
      </c>
      <c r="E604" s="15">
        <f>VLOOKUP(A604,'[1]תקציב 2012 נכון להיום'!$A$2:$E$1361,5,FALSE)</f>
        <v>2396.69</v>
      </c>
      <c r="F604" s="15">
        <v>4000</v>
      </c>
      <c r="G604" s="15">
        <v>3879.68</v>
      </c>
      <c r="H604" s="15">
        <v>4485.91</v>
      </c>
    </row>
    <row r="605" spans="1:8" x14ac:dyDescent="0.15">
      <c r="A605">
        <v>1781000570</v>
      </c>
      <c r="B605" t="s">
        <v>808</v>
      </c>
      <c r="C605" s="16" t="e">
        <f>VLOOKUP(A605,#REF!,3,FALSE)</f>
        <v>#REF!</v>
      </c>
      <c r="E605" s="15">
        <f>VLOOKUP(A605,'[1]תקציב 2012 נכון להיום'!$A$2:$E$1361,5,FALSE)</f>
        <v>46671.27</v>
      </c>
      <c r="F605" s="15">
        <v>27960</v>
      </c>
      <c r="G605" s="15">
        <v>44215.53</v>
      </c>
      <c r="H605" s="15">
        <v>39108</v>
      </c>
    </row>
    <row r="606" spans="1:8" x14ac:dyDescent="0.15">
      <c r="A606">
        <v>1781000750</v>
      </c>
      <c r="B606" t="s">
        <v>714</v>
      </c>
      <c r="C606" s="16" t="e">
        <f>VLOOKUP(A606,#REF!,3,FALSE)</f>
        <v>#REF!</v>
      </c>
      <c r="E606" s="15">
        <f>VLOOKUP(A606,'[1]תקציב 2012 נכון להיום'!$A$2:$E$1361,5,FALSE)</f>
        <v>63881</v>
      </c>
      <c r="F606" s="15">
        <v>67900</v>
      </c>
      <c r="G606" s="15">
        <v>67618.240000000005</v>
      </c>
      <c r="H606" s="15">
        <v>10748</v>
      </c>
    </row>
    <row r="607" spans="1:8" x14ac:dyDescent="0.15">
      <c r="A607">
        <v>1781000910</v>
      </c>
      <c r="B607" t="s">
        <v>809</v>
      </c>
      <c r="C607" s="16" t="e">
        <f>VLOOKUP(A607,#REF!,3,FALSE)</f>
        <v>#REF!</v>
      </c>
      <c r="E607" s="15">
        <f>VLOOKUP(A607,'[1]תקציב 2012 נכון להיום'!$A$2:$E$1361,5,FALSE)</f>
        <v>1185</v>
      </c>
      <c r="F607" s="15">
        <v>1185</v>
      </c>
      <c r="G607" s="15">
        <v>0</v>
      </c>
      <c r="H607" s="15">
        <v>0</v>
      </c>
    </row>
    <row r="608" spans="1:8" x14ac:dyDescent="0.15">
      <c r="A608">
        <v>1781002731</v>
      </c>
      <c r="B608" t="s">
        <v>810</v>
      </c>
      <c r="C608" s="16" t="e">
        <f>VLOOKUP(A608,#REF!,3,FALSE)</f>
        <v>#REF!</v>
      </c>
      <c r="E608" s="15">
        <f>VLOOKUP(A608,'[1]תקציב 2012 נכון להיום'!$A$2:$E$1361,5,FALSE)</f>
        <v>29636.07</v>
      </c>
      <c r="F608" s="15">
        <v>45000</v>
      </c>
      <c r="G608" s="15">
        <v>54926.25</v>
      </c>
      <c r="H608" s="15">
        <v>36960.65</v>
      </c>
    </row>
    <row r="609" spans="1:8" x14ac:dyDescent="0.15">
      <c r="A609">
        <v>1781003731</v>
      </c>
      <c r="B609" t="s">
        <v>811</v>
      </c>
      <c r="C609" s="16" t="e">
        <f>VLOOKUP(A609,#REF!,3,FALSE)</f>
        <v>#REF!</v>
      </c>
      <c r="E609" s="15">
        <f>VLOOKUP(A609,'[1]תקציב 2012 נכון להיום'!$A$2:$E$1361,5,FALSE)</f>
        <v>581</v>
      </c>
      <c r="F609" s="15">
        <v>1500</v>
      </c>
      <c r="G609" s="15">
        <v>0</v>
      </c>
      <c r="H609" s="15">
        <v>786</v>
      </c>
    </row>
    <row r="610" spans="1:8" x14ac:dyDescent="0.15">
      <c r="A610">
        <v>1781100442</v>
      </c>
      <c r="B610" t="s">
        <v>812</v>
      </c>
      <c r="C610" s="16" t="e">
        <f>VLOOKUP(A610,#REF!,3,FALSE)</f>
        <v>#REF!</v>
      </c>
      <c r="E610" s="15">
        <f>VLOOKUP(A610,'[1]תקציב 2012 נכון להיום'!$A$2:$E$1361,5,FALSE)</f>
        <v>0</v>
      </c>
      <c r="F610" s="15">
        <v>3000</v>
      </c>
      <c r="G610" s="15">
        <v>0</v>
      </c>
      <c r="H610" s="15">
        <v>1494</v>
      </c>
    </row>
    <row r="611" spans="1:8" x14ac:dyDescent="0.15">
      <c r="A611">
        <v>1781100511</v>
      </c>
      <c r="B611" t="s">
        <v>813</v>
      </c>
      <c r="C611" s="16" t="e">
        <f>VLOOKUP(A611,#REF!,3,FALSE)</f>
        <v>#REF!</v>
      </c>
      <c r="E611" s="15">
        <f>VLOOKUP(A611,'[1]תקציב 2012 נכון להיום'!$A$2:$E$1361,5,FALSE)</f>
        <v>0</v>
      </c>
      <c r="F611" s="15">
        <v>1000</v>
      </c>
      <c r="G611" s="15">
        <v>840</v>
      </c>
      <c r="H611" s="15">
        <v>392.68</v>
      </c>
    </row>
    <row r="612" spans="1:8" x14ac:dyDescent="0.15">
      <c r="A612">
        <v>1781100521</v>
      </c>
      <c r="B612" t="s">
        <v>646</v>
      </c>
      <c r="C612" s="16" t="e">
        <f>VLOOKUP(A612,#REF!,3,FALSE)</f>
        <v>#REF!</v>
      </c>
      <c r="E612" s="15">
        <f>VLOOKUP(A612,'[1]תקציב 2012 נכון להיום'!$A$2:$E$1361,5,FALSE)</f>
        <v>9499</v>
      </c>
      <c r="F612" s="15">
        <v>10000</v>
      </c>
      <c r="G612" s="15">
        <v>22265.99</v>
      </c>
      <c r="H612" s="15">
        <v>8200</v>
      </c>
    </row>
    <row r="613" spans="1:8" x14ac:dyDescent="0.15">
      <c r="A613">
        <v>1781100570</v>
      </c>
      <c r="B613" t="s">
        <v>814</v>
      </c>
      <c r="C613" s="16" t="e">
        <f>VLOOKUP(A613,#REF!,3,FALSE)</f>
        <v>#REF!</v>
      </c>
      <c r="E613" s="15">
        <f>VLOOKUP(A613,'[1]תקציב 2012 נכון להיום'!$A$2:$E$1361,5,FALSE)</f>
        <v>0</v>
      </c>
      <c r="F613" s="15">
        <v>41200</v>
      </c>
      <c r="G613" s="15">
        <v>0</v>
      </c>
      <c r="H613" s="15">
        <v>0</v>
      </c>
    </row>
    <row r="614" spans="1:8" x14ac:dyDescent="0.15">
      <c r="A614">
        <v>1781100743</v>
      </c>
      <c r="B614" t="s">
        <v>815</v>
      </c>
      <c r="C614" s="16" t="e">
        <f>VLOOKUP(A614,#REF!,3,FALSE)</f>
        <v>#REF!</v>
      </c>
      <c r="E614" s="15">
        <f>VLOOKUP(A614,'[1]תקציב 2012 נכון להיום'!$A$2:$E$1361,5,FALSE)</f>
        <v>1833</v>
      </c>
      <c r="F614" s="15">
        <v>30000</v>
      </c>
      <c r="G614" s="15">
        <v>30000</v>
      </c>
      <c r="H614" s="15">
        <v>10000</v>
      </c>
    </row>
    <row r="615" spans="1:8" x14ac:dyDescent="0.15">
      <c r="A615">
        <v>1781100750</v>
      </c>
      <c r="B615" t="s">
        <v>816</v>
      </c>
      <c r="C615" s="16" t="e">
        <f>VLOOKUP(A615,#REF!,3,FALSE)</f>
        <v>#REF!</v>
      </c>
      <c r="E615" s="15">
        <f>VLOOKUP(A615,'[1]תקציב 2012 נכון להיום'!$A$2:$E$1361,5,FALSE)</f>
        <v>195777.97</v>
      </c>
      <c r="F615" s="15">
        <v>480000</v>
      </c>
      <c r="G615" s="15">
        <v>480837.2</v>
      </c>
      <c r="H615" s="15">
        <v>507790.28</v>
      </c>
    </row>
    <row r="616" spans="1:8" x14ac:dyDescent="0.15">
      <c r="A616">
        <v>1781100780</v>
      </c>
      <c r="B616" t="s">
        <v>580</v>
      </c>
      <c r="C616" s="16" t="e">
        <f>VLOOKUP(A616,#REF!,3,FALSE)</f>
        <v>#REF!</v>
      </c>
      <c r="E616" s="15">
        <f>VLOOKUP(A616,'[1]תקציב 2012 נכון להיום'!$A$2:$E$1361,5,FALSE)</f>
        <v>0</v>
      </c>
      <c r="F616" s="15">
        <v>40000</v>
      </c>
      <c r="G616" s="15">
        <v>57778.63</v>
      </c>
      <c r="H616" s="15">
        <v>56162</v>
      </c>
    </row>
    <row r="617" spans="1:8" x14ac:dyDescent="0.15">
      <c r="A617">
        <v>1781100930</v>
      </c>
      <c r="B617" t="s">
        <v>739</v>
      </c>
      <c r="C617" s="16" t="e">
        <f>VLOOKUP(A617,#REF!,3,FALSE)</f>
        <v>#REF!</v>
      </c>
      <c r="E617" s="15">
        <f>VLOOKUP(A617,'[1]תקציב 2012 נכון להיום'!$A$2:$E$1361,5,FALSE)</f>
        <v>4051</v>
      </c>
      <c r="F617" s="15">
        <v>10000</v>
      </c>
      <c r="G617" s="15">
        <v>3730.81</v>
      </c>
      <c r="H617" s="15">
        <v>10869.07</v>
      </c>
    </row>
    <row r="618" spans="1:8" ht="14" thickBot="1" x14ac:dyDescent="0.2">
      <c r="A618">
        <v>1781365731</v>
      </c>
      <c r="B618" t="s">
        <v>817</v>
      </c>
      <c r="C618" s="16" t="e">
        <f>VLOOKUP(A618,#REF!,3,FALSE)</f>
        <v>#REF!</v>
      </c>
      <c r="E618" s="15">
        <f>VLOOKUP(A618,'[1]תקציב 2012 נכון להיום'!$A$2:$E$1361,5,FALSE)</f>
        <v>7888.82</v>
      </c>
      <c r="F618" s="15">
        <v>28500</v>
      </c>
      <c r="G618" s="15">
        <v>36310.46</v>
      </c>
      <c r="H618" s="15">
        <v>40017.32</v>
      </c>
    </row>
    <row r="619" spans="1:8" x14ac:dyDescent="0.15">
      <c r="A619">
        <v>1811000422</v>
      </c>
      <c r="B619" s="59" t="s">
        <v>818</v>
      </c>
      <c r="C619" s="16" t="e">
        <f>VLOOKUP(A619,#REF!,3,FALSE)</f>
        <v>#REF!</v>
      </c>
      <c r="D619" s="337" t="s">
        <v>1122</v>
      </c>
      <c r="E619" s="15">
        <f>VLOOKUP(A619,'[1]תקציב 2012 נכון להיום'!$A$2:$E$1361,5,FALSE)</f>
        <v>4800</v>
      </c>
      <c r="F619" s="15">
        <v>5000</v>
      </c>
      <c r="G619" s="15">
        <v>5100.0200000000004</v>
      </c>
      <c r="H619" s="15">
        <v>4319</v>
      </c>
    </row>
    <row r="620" spans="1:8" x14ac:dyDescent="0.15">
      <c r="A620">
        <v>1811000440</v>
      </c>
      <c r="B620" t="s">
        <v>558</v>
      </c>
      <c r="C620" s="16" t="e">
        <f>VLOOKUP(A620,#REF!,3,FALSE)</f>
        <v>#REF!</v>
      </c>
      <c r="D620" s="338"/>
      <c r="E620" s="15">
        <f>VLOOKUP(A620,'[1]תקציב 2012 נכון להיום'!$A$2:$E$1361,5,FALSE)</f>
        <v>523340</v>
      </c>
      <c r="F620" s="15">
        <v>361064</v>
      </c>
      <c r="G620" s="15">
        <v>498371.76</v>
      </c>
      <c r="H620" s="15">
        <v>235823.86</v>
      </c>
    </row>
    <row r="621" spans="1:8" x14ac:dyDescent="0.15">
      <c r="A621">
        <v>1811000443</v>
      </c>
      <c r="B621" s="59" t="s">
        <v>819</v>
      </c>
      <c r="C621" s="16" t="e">
        <f>VLOOKUP(A621,#REF!,3,FALSE)</f>
        <v>#REF!</v>
      </c>
      <c r="D621" s="338"/>
      <c r="E621" s="15">
        <f>VLOOKUP(A621,'[1]תקציב 2012 נכון להיום'!$A$2:$E$1361,5,FALSE)</f>
        <v>0</v>
      </c>
      <c r="F621" s="15">
        <v>5000</v>
      </c>
      <c r="G621" s="15">
        <v>5000</v>
      </c>
      <c r="H621" s="15">
        <v>0</v>
      </c>
    </row>
    <row r="622" spans="1:8" x14ac:dyDescent="0.15">
      <c r="A622">
        <v>1811000470</v>
      </c>
      <c r="B622" s="59" t="s">
        <v>820</v>
      </c>
      <c r="C622" s="16" t="e">
        <f>VLOOKUP(A622,#REF!,3,FALSE)</f>
        <v>#REF!</v>
      </c>
      <c r="D622" s="338"/>
      <c r="E622" s="15">
        <f>VLOOKUP(A622,'[1]תקציב 2012 נכון להיום'!$A$2:$E$1361,5,FALSE)</f>
        <v>6470.3</v>
      </c>
      <c r="F622" s="15">
        <v>15000</v>
      </c>
      <c r="G622" s="15">
        <v>12981.09</v>
      </c>
      <c r="H622" s="15">
        <v>14701.11</v>
      </c>
    </row>
    <row r="623" spans="1:8" x14ac:dyDescent="0.15">
      <c r="A623">
        <v>1811000511</v>
      </c>
      <c r="B623" s="59" t="s">
        <v>697</v>
      </c>
      <c r="C623" s="16" t="e">
        <f>VLOOKUP(A623,#REF!,3,FALSE)</f>
        <v>#REF!</v>
      </c>
      <c r="D623" s="338"/>
      <c r="E623" s="15">
        <f>VLOOKUP(A623,'[1]תקציב 2012 נכון להיום'!$A$2:$E$1361,5,FALSE)</f>
        <v>1000</v>
      </c>
      <c r="F623" s="15">
        <v>2000</v>
      </c>
      <c r="G623" s="15">
        <v>2027.39</v>
      </c>
      <c r="H623" s="15">
        <v>1250</v>
      </c>
    </row>
    <row r="624" spans="1:8" x14ac:dyDescent="0.15">
      <c r="A624">
        <v>1811000512</v>
      </c>
      <c r="B624" s="59" t="s">
        <v>821</v>
      </c>
      <c r="C624" s="16" t="e">
        <f>VLOOKUP(A624,#REF!,3,FALSE)</f>
        <v>#REF!</v>
      </c>
      <c r="D624" s="338"/>
      <c r="E624" s="15">
        <f>VLOOKUP(A624,'[1]תקציב 2012 נכון להיום'!$A$2:$E$1361,5,FALSE)</f>
        <v>584</v>
      </c>
      <c r="F624" s="15">
        <v>1000</v>
      </c>
      <c r="G624" s="15">
        <v>1168.3</v>
      </c>
      <c r="H624" s="15">
        <v>772</v>
      </c>
    </row>
    <row r="625" spans="1:8" x14ac:dyDescent="0.15">
      <c r="A625">
        <v>1811000540</v>
      </c>
      <c r="B625" s="59" t="s">
        <v>629</v>
      </c>
      <c r="C625" s="16" t="e">
        <f>VLOOKUP(A625,#REF!,3,FALSE)</f>
        <v>#REF!</v>
      </c>
      <c r="D625" s="338"/>
      <c r="E625" s="15">
        <f>VLOOKUP(A625,'[1]תקציב 2012 נכון להיום'!$A$2:$E$1361,5,FALSE)</f>
        <v>0</v>
      </c>
      <c r="F625" s="15">
        <v>11000</v>
      </c>
      <c r="G625" s="15">
        <v>4334.68</v>
      </c>
      <c r="H625" s="15">
        <v>1409</v>
      </c>
    </row>
    <row r="626" spans="1:8" x14ac:dyDescent="0.15">
      <c r="A626">
        <v>1811000550</v>
      </c>
      <c r="B626" s="59" t="s">
        <v>822</v>
      </c>
      <c r="C626" s="16" t="e">
        <f>VLOOKUP(A626,#REF!,3,FALSE)</f>
        <v>#REF!</v>
      </c>
      <c r="D626" s="338"/>
      <c r="E626" s="15">
        <f>VLOOKUP(A626,'[1]תקציב 2012 נכון להיום'!$A$2:$E$1361,5,FALSE)</f>
        <v>0</v>
      </c>
      <c r="F626" s="15">
        <v>5000</v>
      </c>
      <c r="G626" s="15">
        <v>6955</v>
      </c>
      <c r="H626" s="15">
        <v>4940</v>
      </c>
    </row>
    <row r="627" spans="1:8" x14ac:dyDescent="0.15">
      <c r="A627">
        <v>1811000560</v>
      </c>
      <c r="B627" s="59" t="s">
        <v>823</v>
      </c>
      <c r="C627" s="16" t="e">
        <f>VLOOKUP(A627,#REF!,3,FALSE)</f>
        <v>#REF!</v>
      </c>
      <c r="D627" s="338"/>
      <c r="E627" s="15">
        <f>VLOOKUP(A627,'[1]תקציב 2012 נכון להיום'!$A$2:$E$1361,5,FALSE)</f>
        <v>0</v>
      </c>
      <c r="F627" s="15">
        <v>2000</v>
      </c>
      <c r="G627" s="15">
        <v>1835.73</v>
      </c>
      <c r="H627" s="15">
        <v>3605.92</v>
      </c>
    </row>
    <row r="628" spans="1:8" x14ac:dyDescent="0.15">
      <c r="A628">
        <v>1811000570</v>
      </c>
      <c r="B628" s="59" t="s">
        <v>824</v>
      </c>
      <c r="C628" s="16" t="e">
        <f>VLOOKUP(A628,#REF!,3,FALSE)</f>
        <v>#REF!</v>
      </c>
      <c r="D628" s="338"/>
      <c r="E628" s="15">
        <f>VLOOKUP(A628,'[1]תקציב 2012 נכון להיום'!$A$2:$E$1361,5,FALSE)</f>
        <v>64409.32</v>
      </c>
      <c r="F628" s="15">
        <v>82400</v>
      </c>
      <c r="G628" s="15">
        <v>69733.17</v>
      </c>
      <c r="H628" s="15">
        <v>66049.23</v>
      </c>
    </row>
    <row r="629" spans="1:8" x14ac:dyDescent="0.15">
      <c r="A629">
        <v>1811000571</v>
      </c>
      <c r="B629" s="59" t="s">
        <v>590</v>
      </c>
      <c r="C629" s="16" t="e">
        <f>VLOOKUP(A629,#REF!,3,FALSE)</f>
        <v>#REF!</v>
      </c>
      <c r="D629" s="338"/>
      <c r="E629" s="15">
        <f>VLOOKUP(A629,'[1]תקציב 2012 נכון להיום'!$A$2:$E$1361,5,FALSE)</f>
        <v>0</v>
      </c>
      <c r="F629" s="15">
        <v>7758</v>
      </c>
      <c r="G629" s="15">
        <v>5475</v>
      </c>
      <c r="H629" s="15">
        <v>0</v>
      </c>
    </row>
    <row r="630" spans="1:8" x14ac:dyDescent="0.15">
      <c r="A630">
        <v>1811000580</v>
      </c>
      <c r="B630" s="59" t="s">
        <v>825</v>
      </c>
      <c r="C630" s="16" t="e">
        <f>VLOOKUP(A630,#REF!,3,FALSE)</f>
        <v>#REF!</v>
      </c>
      <c r="D630" s="338"/>
      <c r="E630" s="15">
        <f>VLOOKUP(A630,'[1]תקציב 2012 נכון להיום'!$A$2:$E$1361,5,FALSE)</f>
        <v>6224.45</v>
      </c>
      <c r="F630" s="15">
        <v>7815</v>
      </c>
      <c r="G630" s="15">
        <v>8430</v>
      </c>
      <c r="H630" s="15">
        <v>5500</v>
      </c>
    </row>
    <row r="631" spans="1:8" x14ac:dyDescent="0.15">
      <c r="A631">
        <v>1811000720</v>
      </c>
      <c r="B631" s="59" t="s">
        <v>826</v>
      </c>
      <c r="C631" s="16" t="e">
        <f>VLOOKUP(A631,#REF!,3,FALSE)</f>
        <v>#REF!</v>
      </c>
      <c r="D631" s="338"/>
      <c r="E631" s="15">
        <f>VLOOKUP(A631,'[1]תקציב 2012 נכון להיום'!$A$2:$E$1361,5,FALSE)</f>
        <v>1320.83</v>
      </c>
      <c r="F631" s="15">
        <v>1000</v>
      </c>
      <c r="G631" s="15">
        <v>1672.26</v>
      </c>
      <c r="H631" s="15">
        <v>1088.8</v>
      </c>
    </row>
    <row r="632" spans="1:8" x14ac:dyDescent="0.15">
      <c r="A632">
        <v>1811000780</v>
      </c>
      <c r="B632" s="59" t="s">
        <v>580</v>
      </c>
      <c r="C632" s="16" t="e">
        <f>VLOOKUP(A632,#REF!,3,FALSE)</f>
        <v>#REF!</v>
      </c>
      <c r="D632" s="338"/>
      <c r="E632" s="15">
        <f>VLOOKUP(A632,'[1]תקציב 2012 נכון להיום'!$A$2:$E$1361,5,FALSE)</f>
        <v>4370</v>
      </c>
      <c r="F632" s="15">
        <v>4000</v>
      </c>
      <c r="G632" s="15">
        <v>36400</v>
      </c>
      <c r="H632" s="15">
        <v>4000</v>
      </c>
    </row>
    <row r="633" spans="1:8" ht="14" thickBot="1" x14ac:dyDescent="0.2">
      <c r="A633">
        <v>1811000910</v>
      </c>
      <c r="B633" s="59" t="s">
        <v>827</v>
      </c>
      <c r="C633" s="16" t="e">
        <f>VLOOKUP(A633,#REF!,3,FALSE)</f>
        <v>#REF!</v>
      </c>
      <c r="D633" s="339"/>
      <c r="E633" s="15">
        <f>VLOOKUP(A633,'[1]תקציב 2012 נכון להיום'!$A$2:$E$1361,5,FALSE)</f>
        <v>29499</v>
      </c>
      <c r="F633" s="15">
        <v>28754</v>
      </c>
      <c r="G633" s="15">
        <v>0</v>
      </c>
      <c r="H633" s="15">
        <v>0</v>
      </c>
    </row>
    <row r="634" spans="1:8" x14ac:dyDescent="0.15">
      <c r="A634">
        <v>1822000750</v>
      </c>
      <c r="B634" t="s">
        <v>828</v>
      </c>
      <c r="C634" s="16" t="e">
        <f>VLOOKUP(A634,#REF!,3,FALSE)</f>
        <v>#REF!</v>
      </c>
      <c r="D634" s="337" t="s">
        <v>1109</v>
      </c>
      <c r="E634" s="15">
        <f>VLOOKUP(A634,'[1]תקציב 2012 נכון להיום'!$A$2:$E$1361,5,FALSE)</f>
        <v>117666.4</v>
      </c>
      <c r="F634" s="15">
        <v>156000</v>
      </c>
      <c r="G634" s="15">
        <v>0</v>
      </c>
      <c r="H634" s="15">
        <v>0</v>
      </c>
    </row>
    <row r="635" spans="1:8" x14ac:dyDescent="0.15">
      <c r="A635">
        <v>1822000780</v>
      </c>
      <c r="B635" t="s">
        <v>829</v>
      </c>
      <c r="C635" s="16" t="e">
        <f>VLOOKUP(A635,#REF!,3,FALSE)</f>
        <v>#REF!</v>
      </c>
      <c r="D635" s="338"/>
      <c r="E635" s="15">
        <f>VLOOKUP(A635,'[1]תקציב 2012 נכון להיום'!$A$2:$E$1361,5,FALSE)</f>
        <v>1164211.57</v>
      </c>
      <c r="F635" s="15">
        <v>1708000</v>
      </c>
      <c r="G635" s="15">
        <v>1286057.3600000001</v>
      </c>
      <c r="H635" s="15">
        <v>1232570.81</v>
      </c>
    </row>
    <row r="636" spans="1:8" x14ac:dyDescent="0.15">
      <c r="A636">
        <v>1822000781</v>
      </c>
      <c r="B636" t="s">
        <v>830</v>
      </c>
      <c r="C636" s="16" t="e">
        <f>VLOOKUP(A636,#REF!,3,FALSE)</f>
        <v>#REF!</v>
      </c>
      <c r="D636" s="338"/>
      <c r="E636" s="15">
        <f>VLOOKUP(A636,'[1]תקציב 2012 נכון להיום'!$A$2:$E$1361,5,FALSE)</f>
        <v>0</v>
      </c>
      <c r="F636" s="15">
        <v>60000</v>
      </c>
      <c r="G636" s="15">
        <v>0</v>
      </c>
      <c r="H636" s="15">
        <v>0</v>
      </c>
    </row>
    <row r="637" spans="1:8" x14ac:dyDescent="0.15">
      <c r="A637">
        <v>1822000782</v>
      </c>
      <c r="B637" t="s">
        <v>831</v>
      </c>
      <c r="C637" s="16" t="e">
        <f>VLOOKUP(A637,#REF!,3,FALSE)</f>
        <v>#REF!</v>
      </c>
      <c r="D637" s="338"/>
      <c r="E637" s="15">
        <f>VLOOKUP(A637,'[1]תקציב 2012 נכון להיום'!$A$2:$E$1361,5,FALSE)</f>
        <v>274913.75</v>
      </c>
      <c r="F637" s="15">
        <v>777000</v>
      </c>
      <c r="G637" s="15">
        <v>0</v>
      </c>
      <c r="H637" s="15">
        <v>0</v>
      </c>
    </row>
    <row r="638" spans="1:8" x14ac:dyDescent="0.15">
      <c r="A638">
        <v>1822000783</v>
      </c>
      <c r="B638" t="s">
        <v>832</v>
      </c>
      <c r="C638" s="16" t="e">
        <f>VLOOKUP(A638,#REF!,3,FALSE)</f>
        <v>#REF!</v>
      </c>
      <c r="D638" s="338"/>
      <c r="E638" s="15">
        <f>VLOOKUP(A638,'[1]תקציב 2012 נכון להיום'!$A$2:$E$1361,5,FALSE)</f>
        <v>218396.03</v>
      </c>
      <c r="F638" s="15">
        <v>354000</v>
      </c>
      <c r="G638" s="15">
        <v>0</v>
      </c>
      <c r="H638" s="15">
        <v>0</v>
      </c>
    </row>
    <row r="639" spans="1:8" x14ac:dyDescent="0.15">
      <c r="A639">
        <v>1822000784</v>
      </c>
      <c r="B639" t="s">
        <v>833</v>
      </c>
      <c r="C639" s="16" t="e">
        <f>VLOOKUP(A639,#REF!,3,FALSE)</f>
        <v>#REF!</v>
      </c>
      <c r="D639" s="338"/>
      <c r="E639" s="15">
        <f>VLOOKUP(A639,'[1]תקציב 2012 נכון להיום'!$A$2:$E$1361,5,FALSE)</f>
        <v>164464.79999999999</v>
      </c>
      <c r="F639" s="15">
        <v>345000</v>
      </c>
      <c r="G639" s="15">
        <v>0</v>
      </c>
      <c r="H639" s="15">
        <v>0</v>
      </c>
    </row>
    <row r="640" spans="1:8" x14ac:dyDescent="0.15">
      <c r="A640">
        <v>1822000785</v>
      </c>
      <c r="B640" t="s">
        <v>834</v>
      </c>
      <c r="C640" s="16" t="e">
        <f>VLOOKUP(A640,#REF!,3,FALSE)</f>
        <v>#REF!</v>
      </c>
      <c r="D640" s="338"/>
      <c r="E640" s="15">
        <f>VLOOKUP(A640,'[1]תקציב 2012 נכון להיום'!$A$2:$E$1361,5,FALSE)</f>
        <v>6349</v>
      </c>
      <c r="F640" s="15">
        <v>10000</v>
      </c>
      <c r="G640" s="15">
        <v>0</v>
      </c>
      <c r="H640" s="15">
        <v>0</v>
      </c>
    </row>
    <row r="641" spans="1:8" x14ac:dyDescent="0.15">
      <c r="A641">
        <v>1822000786</v>
      </c>
      <c r="B641" t="s">
        <v>835</v>
      </c>
      <c r="C641" s="16" t="e">
        <f>VLOOKUP(A641,#REF!,3,FALSE)</f>
        <v>#REF!</v>
      </c>
      <c r="D641" s="338"/>
      <c r="E641" s="15">
        <f>VLOOKUP(A641,'[1]תקציב 2012 נכון להיום'!$A$2:$E$1361,5,FALSE)</f>
        <v>47352.97</v>
      </c>
      <c r="F641" s="15">
        <v>100000</v>
      </c>
      <c r="G641" s="15">
        <v>0</v>
      </c>
      <c r="H641" s="15">
        <v>0</v>
      </c>
    </row>
    <row r="642" spans="1:8" x14ac:dyDescent="0.15">
      <c r="A642">
        <v>1822000822</v>
      </c>
      <c r="B642" s="59" t="s">
        <v>836</v>
      </c>
      <c r="C642" s="16" t="e">
        <f>VLOOKUP(A642,#REF!,3,FALSE)</f>
        <v>#REF!</v>
      </c>
      <c r="D642" s="338"/>
      <c r="E642" s="15">
        <f>VLOOKUP(A642,'[1]תקציב 2012 נכון להיום'!$A$2:$E$1361,5,FALSE)</f>
        <v>96000</v>
      </c>
      <c r="F642" s="15">
        <v>96000</v>
      </c>
      <c r="G642" s="15">
        <v>96000</v>
      </c>
      <c r="H642" s="15">
        <v>72000</v>
      </c>
    </row>
    <row r="643" spans="1:8" x14ac:dyDescent="0.15">
      <c r="A643">
        <v>1822300780</v>
      </c>
      <c r="B643" t="s">
        <v>837</v>
      </c>
      <c r="C643" s="16" t="e">
        <f>VLOOKUP(A643,#REF!,3,FALSE)</f>
        <v>#REF!</v>
      </c>
      <c r="D643" s="338"/>
      <c r="E643" s="15">
        <f>VLOOKUP(A643,'[1]תקציב 2012 נכון להיום'!$A$2:$E$1361,5,FALSE)</f>
        <v>885623.54</v>
      </c>
      <c r="F643" s="15">
        <v>900000</v>
      </c>
      <c r="G643" s="15">
        <v>1025361.78</v>
      </c>
      <c r="H643" s="15">
        <v>0</v>
      </c>
    </row>
    <row r="644" spans="1:8" ht="14" thickBot="1" x14ac:dyDescent="0.2">
      <c r="A644">
        <v>1822800780</v>
      </c>
      <c r="B644" t="s">
        <v>838</v>
      </c>
      <c r="C644" s="16" t="e">
        <f>VLOOKUP(A644,#REF!,3,FALSE)</f>
        <v>#REF!</v>
      </c>
      <c r="D644" s="339"/>
      <c r="E644" s="15">
        <f>VLOOKUP(A644,'[1]תקציב 2012 נכון להיום'!$A$2:$E$1361,5,FALSE)</f>
        <v>60434.04</v>
      </c>
      <c r="F644" s="15">
        <v>100000</v>
      </c>
      <c r="G644" s="15">
        <v>52355</v>
      </c>
      <c r="H644" s="15">
        <v>106811.64</v>
      </c>
    </row>
    <row r="645" spans="1:8" ht="14" thickBot="1" x14ac:dyDescent="0.2">
      <c r="A645">
        <v>1823000430</v>
      </c>
      <c r="B645" t="s">
        <v>839</v>
      </c>
      <c r="C645" s="16" t="e">
        <f>VLOOKUP(A645,#REF!,3,FALSE)</f>
        <v>#REF!</v>
      </c>
      <c r="D645" t="s">
        <v>1123</v>
      </c>
      <c r="E645" s="15">
        <f>VLOOKUP(A645,'[1]תקציב 2012 נכון להיום'!$A$2:$E$1361,5,FALSE)</f>
        <v>54143.34</v>
      </c>
      <c r="F645" s="15">
        <v>74000</v>
      </c>
      <c r="G645" s="15">
        <v>68674.289999999994</v>
      </c>
      <c r="H645" s="15">
        <v>52865.21</v>
      </c>
    </row>
    <row r="646" spans="1:8" x14ac:dyDescent="0.15">
      <c r="A646">
        <v>1823000470</v>
      </c>
      <c r="B646" t="s">
        <v>840</v>
      </c>
      <c r="C646" s="16" t="e">
        <f>VLOOKUP(A646,#REF!,3,FALSE)</f>
        <v>#REF!</v>
      </c>
      <c r="D646" s="337" t="s">
        <v>1124</v>
      </c>
      <c r="E646" s="15">
        <f>VLOOKUP(A646,'[1]תקציב 2012 נכון להיום'!$A$2:$E$1361,5,FALSE)</f>
        <v>640.89</v>
      </c>
      <c r="F646" s="15">
        <v>500</v>
      </c>
      <c r="G646" s="15">
        <v>507.03</v>
      </c>
      <c r="H646" s="15">
        <v>499.55</v>
      </c>
    </row>
    <row r="647" spans="1:8" x14ac:dyDescent="0.15">
      <c r="A647">
        <v>1823000520</v>
      </c>
      <c r="B647" t="s">
        <v>841</v>
      </c>
      <c r="C647" s="16" t="e">
        <f>VLOOKUP(A647,#REF!,3,FALSE)</f>
        <v>#REF!</v>
      </c>
      <c r="D647" s="338"/>
      <c r="E647" s="15">
        <f>VLOOKUP(A647,'[1]תקציב 2012 נכון להיום'!$A$2:$E$1361,5,FALSE)</f>
        <v>7178.47</v>
      </c>
      <c r="F647" s="15">
        <v>11000</v>
      </c>
      <c r="G647" s="15">
        <v>15885.4</v>
      </c>
      <c r="H647" s="15">
        <v>16002.46</v>
      </c>
    </row>
    <row r="648" spans="1:8" x14ac:dyDescent="0.15">
      <c r="A648">
        <v>1823000522</v>
      </c>
      <c r="B648" t="s">
        <v>842</v>
      </c>
      <c r="C648" s="16" t="e">
        <f>VLOOKUP(A648,#REF!,3,FALSE)</f>
        <v>#REF!</v>
      </c>
      <c r="D648" s="338"/>
      <c r="E648" s="15">
        <f>VLOOKUP(A648,'[1]תקציב 2012 נכון להיום'!$A$2:$E$1361,5,FALSE)</f>
        <v>130</v>
      </c>
      <c r="F648" s="15">
        <v>130</v>
      </c>
      <c r="G648" s="15">
        <v>130</v>
      </c>
      <c r="H648" s="15">
        <v>130</v>
      </c>
    </row>
    <row r="649" spans="1:8" x14ac:dyDescent="0.15">
      <c r="A649">
        <v>1823000540</v>
      </c>
      <c r="B649" t="s">
        <v>843</v>
      </c>
      <c r="C649" s="16" t="e">
        <f>VLOOKUP(A649,#REF!,3,FALSE)</f>
        <v>#REF!</v>
      </c>
      <c r="D649" s="338"/>
      <c r="E649" s="15">
        <f>VLOOKUP(A649,'[1]תקציב 2012 נכון להיום'!$A$2:$E$1361,5,FALSE)</f>
        <v>6562.77</v>
      </c>
      <c r="F649" s="15">
        <v>8000</v>
      </c>
      <c r="G649" s="15">
        <v>7915.41</v>
      </c>
      <c r="H649" s="15">
        <v>8627.44</v>
      </c>
    </row>
    <row r="650" spans="1:8" x14ac:dyDescent="0.15">
      <c r="A650">
        <v>1823000560</v>
      </c>
      <c r="B650" t="s">
        <v>844</v>
      </c>
      <c r="C650" s="16" t="e">
        <f>VLOOKUP(A650,#REF!,3,FALSE)</f>
        <v>#REF!</v>
      </c>
      <c r="D650" s="338"/>
      <c r="E650" s="15">
        <f>VLOOKUP(A650,'[1]תקציב 2012 נכון להיום'!$A$2:$E$1361,5,FALSE)</f>
        <v>1650.33</v>
      </c>
      <c r="F650" s="15">
        <v>1450</v>
      </c>
      <c r="G650" s="15">
        <v>13099</v>
      </c>
      <c r="H650" s="15">
        <v>1450</v>
      </c>
    </row>
    <row r="651" spans="1:8" x14ac:dyDescent="0.15">
      <c r="A651">
        <v>1823000740</v>
      </c>
      <c r="B651" t="s">
        <v>845</v>
      </c>
      <c r="C651" s="16" t="e">
        <f>VLOOKUP(A651,#REF!,3,FALSE)</f>
        <v>#REF!</v>
      </c>
      <c r="D651" s="338"/>
      <c r="E651" s="15">
        <f>VLOOKUP(A651,'[1]תקציב 2012 נכון להיום'!$A$2:$E$1361,5,FALSE)</f>
        <v>0</v>
      </c>
      <c r="F651" s="15">
        <v>5000</v>
      </c>
      <c r="G651" s="15">
        <v>2435.0100000000002</v>
      </c>
      <c r="H651" s="15">
        <v>4480</v>
      </c>
    </row>
    <row r="652" spans="1:8" x14ac:dyDescent="0.15">
      <c r="A652">
        <v>1823000750</v>
      </c>
      <c r="B652" t="s">
        <v>846</v>
      </c>
      <c r="C652" s="16" t="e">
        <f>VLOOKUP(A652,#REF!,3,FALSE)</f>
        <v>#REF!</v>
      </c>
      <c r="D652" s="338"/>
      <c r="E652" s="15">
        <f>VLOOKUP(A652,'[1]תקציב 2012 נכון להיום'!$A$2:$E$1361,5,FALSE)</f>
        <v>11015.76</v>
      </c>
      <c r="F652" s="15">
        <v>12000</v>
      </c>
      <c r="G652" s="15">
        <v>14999.32</v>
      </c>
      <c r="H652" s="15">
        <v>14800</v>
      </c>
    </row>
    <row r="653" spans="1:8" x14ac:dyDescent="0.15">
      <c r="A653">
        <v>1823000780</v>
      </c>
      <c r="B653" t="s">
        <v>580</v>
      </c>
      <c r="C653" s="16" t="e">
        <f>VLOOKUP(A653,#REF!,3,FALSE)</f>
        <v>#REF!</v>
      </c>
      <c r="D653" s="338"/>
      <c r="E653" s="15">
        <f>VLOOKUP(A653,'[1]תקציב 2012 נכון להיום'!$A$2:$E$1361,5,FALSE)</f>
        <v>2888</v>
      </c>
      <c r="F653" s="15">
        <v>14000</v>
      </c>
      <c r="G653" s="15">
        <v>7600</v>
      </c>
      <c r="H653" s="15">
        <v>0</v>
      </c>
    </row>
    <row r="654" spans="1:8" ht="14" thickBot="1" x14ac:dyDescent="0.2">
      <c r="A654">
        <v>1823000930</v>
      </c>
      <c r="B654" t="s">
        <v>847</v>
      </c>
      <c r="C654" s="16" t="e">
        <f>VLOOKUP(A654,#REF!,3,FALSE)</f>
        <v>#REF!</v>
      </c>
      <c r="D654" s="339"/>
      <c r="E654" s="15">
        <f>VLOOKUP(A654,'[1]תקציב 2012 נכון להיום'!$A$2:$E$1361,5,FALSE)</f>
        <v>1700</v>
      </c>
      <c r="F654" s="15">
        <v>1700</v>
      </c>
      <c r="G654" s="15">
        <v>1679.49</v>
      </c>
      <c r="H654" s="15">
        <v>1700</v>
      </c>
    </row>
    <row r="655" spans="1:8" x14ac:dyDescent="0.15">
      <c r="A655">
        <v>1824000430</v>
      </c>
      <c r="B655" t="s">
        <v>848</v>
      </c>
      <c r="C655" s="16" t="e">
        <f>VLOOKUP(A655,#REF!,3,FALSE)</f>
        <v>#REF!</v>
      </c>
      <c r="D655" s="346" t="s">
        <v>1113</v>
      </c>
      <c r="E655" s="15">
        <f>VLOOKUP(A655,'[1]תקציב 2012 נכון להיום'!$A$2:$E$1361,5,FALSE)</f>
        <v>0</v>
      </c>
      <c r="F655" s="15">
        <v>12000</v>
      </c>
      <c r="G655" s="15">
        <v>0</v>
      </c>
      <c r="H655" s="15">
        <v>1553.9</v>
      </c>
    </row>
    <row r="656" spans="1:8" x14ac:dyDescent="0.15">
      <c r="A656">
        <v>1824000810</v>
      </c>
      <c r="B656" t="s">
        <v>849</v>
      </c>
      <c r="C656" s="16" t="e">
        <f>VLOOKUP(A656,#REF!,3,FALSE)</f>
        <v>#REF!</v>
      </c>
      <c r="D656" s="347"/>
      <c r="E656" s="15">
        <f>VLOOKUP(A656,'[1]תקציב 2012 נכון להיום'!$A$2:$E$1361,5,FALSE)</f>
        <v>3029823.99</v>
      </c>
      <c r="F656" s="15">
        <v>3085334</v>
      </c>
      <c r="G656" s="15">
        <v>3194000</v>
      </c>
      <c r="H656" s="15">
        <v>3009999.92</v>
      </c>
    </row>
    <row r="657" spans="1:8" x14ac:dyDescent="0.15">
      <c r="A657">
        <v>1824000812</v>
      </c>
      <c r="B657" s="57" t="s">
        <v>850</v>
      </c>
      <c r="C657" s="16" t="e">
        <f>VLOOKUP(A657,#REF!,3,FALSE)</f>
        <v>#REF!</v>
      </c>
      <c r="D657" s="347"/>
      <c r="E657" s="15">
        <f>VLOOKUP(A657,'[1]תקציב 2012 נכון להיום'!$A$2:$E$1361,5,FALSE)</f>
        <v>80000</v>
      </c>
      <c r="F657" s="15">
        <v>80000</v>
      </c>
      <c r="G657" s="15">
        <v>80000</v>
      </c>
      <c r="H657" s="15">
        <v>60000</v>
      </c>
    </row>
    <row r="658" spans="1:8" ht="14" thickBot="1" x14ac:dyDescent="0.2">
      <c r="A658">
        <v>1824000814</v>
      </c>
      <c r="B658" t="s">
        <v>851</v>
      </c>
      <c r="C658" s="16" t="e">
        <f>VLOOKUP(A658,#REF!,3,FALSE)</f>
        <v>#REF!</v>
      </c>
      <c r="D658" s="348"/>
      <c r="E658" s="15">
        <f>VLOOKUP(A658,'[1]תקציב 2012 נכון להיום'!$A$2:$E$1361,5,FALSE)</f>
        <v>80000</v>
      </c>
      <c r="F658" s="15">
        <v>80000</v>
      </c>
      <c r="G658" s="15">
        <v>80000</v>
      </c>
      <c r="H658" s="15">
        <v>79999.92</v>
      </c>
    </row>
    <row r="659" spans="1:8" x14ac:dyDescent="0.15">
      <c r="A659">
        <v>1825200420</v>
      </c>
      <c r="B659" t="s">
        <v>852</v>
      </c>
      <c r="C659" s="16" t="e">
        <f>VLOOKUP(A659,#REF!,3,FALSE)</f>
        <v>#REF!</v>
      </c>
      <c r="D659" s="337" t="s">
        <v>1118</v>
      </c>
      <c r="E659" s="15">
        <f>VLOOKUP(A659,'[1]תקציב 2012 נכון להיום'!$A$2:$E$1361,5,FALSE)</f>
        <v>21387.9</v>
      </c>
      <c r="F659" s="15">
        <v>30000</v>
      </c>
      <c r="G659" s="15">
        <v>18982.2</v>
      </c>
      <c r="H659" s="15">
        <v>33168.620000000003</v>
      </c>
    </row>
    <row r="660" spans="1:8" x14ac:dyDescent="0.15">
      <c r="A660">
        <v>1825200430</v>
      </c>
      <c r="B660" t="s">
        <v>853</v>
      </c>
      <c r="C660" s="16" t="e">
        <f>VLOOKUP(A660,#REF!,3,FALSE)</f>
        <v>#REF!</v>
      </c>
      <c r="D660" s="338"/>
      <c r="E660" s="15">
        <f>VLOOKUP(A660,'[1]תקציב 2012 נכון להיום'!$A$2:$E$1361,5,FALSE)</f>
        <v>57503.86</v>
      </c>
      <c r="F660" s="15">
        <v>65000</v>
      </c>
      <c r="G660" s="15">
        <v>62337.63</v>
      </c>
      <c r="H660" s="15">
        <v>74930.5</v>
      </c>
    </row>
    <row r="661" spans="1:8" x14ac:dyDescent="0.15">
      <c r="A661">
        <v>1825200433</v>
      </c>
      <c r="B661" t="s">
        <v>854</v>
      </c>
      <c r="C661" s="16" t="e">
        <f>VLOOKUP(A661,#REF!,3,FALSE)</f>
        <v>#REF!</v>
      </c>
      <c r="D661" s="338"/>
      <c r="E661" s="15">
        <f>VLOOKUP(A661,'[1]תקציב 2012 נכון להיום'!$A$2:$E$1361,5,FALSE)</f>
        <v>2975.18</v>
      </c>
      <c r="F661" s="15">
        <v>10000</v>
      </c>
      <c r="G661" s="15">
        <v>5442.21</v>
      </c>
      <c r="H661" s="15">
        <v>2570.04</v>
      </c>
    </row>
    <row r="662" spans="1:8" x14ac:dyDescent="0.15">
      <c r="A662">
        <v>1825200450</v>
      </c>
      <c r="B662" t="s">
        <v>855</v>
      </c>
      <c r="C662" s="16" t="e">
        <f>VLOOKUP(A662,#REF!,3,FALSE)</f>
        <v>#REF!</v>
      </c>
      <c r="D662" s="338"/>
      <c r="E662" s="15">
        <f>VLOOKUP(A662,'[1]תקציב 2012 נכון להיום'!$A$2:$E$1361,5,FALSE)</f>
        <v>0</v>
      </c>
      <c r="F662" s="15">
        <v>15000</v>
      </c>
      <c r="G662" s="15">
        <v>6552.7</v>
      </c>
      <c r="H662" s="15">
        <v>5985.4</v>
      </c>
    </row>
    <row r="663" spans="1:8" x14ac:dyDescent="0.15">
      <c r="A663">
        <v>1825200470</v>
      </c>
      <c r="B663" t="s">
        <v>856</v>
      </c>
      <c r="C663" s="16" t="e">
        <f>VLOOKUP(A663,#REF!,3,FALSE)</f>
        <v>#REF!</v>
      </c>
      <c r="D663" s="338"/>
      <c r="E663" s="15">
        <f>VLOOKUP(A663,'[1]תקציב 2012 נכון להיום'!$A$2:$E$1361,5,FALSE)</f>
        <v>0</v>
      </c>
      <c r="F663" s="15">
        <v>2000</v>
      </c>
      <c r="G663" s="15">
        <v>947.01</v>
      </c>
      <c r="H663" s="15">
        <v>1726.33</v>
      </c>
    </row>
    <row r="664" spans="1:8" x14ac:dyDescent="0.15">
      <c r="A664">
        <v>1825200512</v>
      </c>
      <c r="B664" t="s">
        <v>857</v>
      </c>
      <c r="C664" s="16" t="e">
        <f>VLOOKUP(A664,#REF!,3,FALSE)</f>
        <v>#REF!</v>
      </c>
      <c r="D664" s="338"/>
      <c r="E664" s="15">
        <f>VLOOKUP(A664,'[1]תקציב 2012 נכון להיום'!$A$2:$E$1361,5,FALSE)</f>
        <v>15960</v>
      </c>
      <c r="F664" s="15">
        <v>75000</v>
      </c>
      <c r="G664" s="15">
        <v>56712.01</v>
      </c>
      <c r="H664" s="15">
        <v>15020</v>
      </c>
    </row>
    <row r="665" spans="1:8" x14ac:dyDescent="0.15">
      <c r="A665">
        <v>1825200520</v>
      </c>
      <c r="B665" t="s">
        <v>858</v>
      </c>
      <c r="C665" s="16" t="e">
        <f>VLOOKUP(A665,#REF!,3,FALSE)</f>
        <v>#REF!</v>
      </c>
      <c r="D665" s="338"/>
      <c r="E665" s="15">
        <f>VLOOKUP(A665,'[1]תקציב 2012 נכון להיום'!$A$2:$E$1361,5,FALSE)</f>
        <v>7000</v>
      </c>
      <c r="F665" s="15">
        <v>15000</v>
      </c>
      <c r="G665" s="15">
        <v>10000</v>
      </c>
      <c r="H665" s="15">
        <v>6397.42</v>
      </c>
    </row>
    <row r="666" spans="1:8" x14ac:dyDescent="0.15">
      <c r="A666">
        <v>1825200540</v>
      </c>
      <c r="B666" t="s">
        <v>859</v>
      </c>
      <c r="C666" s="16" t="e">
        <f>VLOOKUP(A666,#REF!,3,FALSE)</f>
        <v>#REF!</v>
      </c>
      <c r="D666" s="338"/>
      <c r="E666" s="15">
        <f>VLOOKUP(A666,'[1]תקציב 2012 נכון להיום'!$A$2:$E$1361,5,FALSE)</f>
        <v>16433.310000000001</v>
      </c>
      <c r="F666" s="15">
        <v>15000</v>
      </c>
      <c r="G666" s="15">
        <v>12189.21</v>
      </c>
      <c r="H666" s="15">
        <v>14716.8</v>
      </c>
    </row>
    <row r="667" spans="1:8" x14ac:dyDescent="0.15">
      <c r="A667">
        <v>1825200550</v>
      </c>
      <c r="B667" t="s">
        <v>860</v>
      </c>
      <c r="C667" s="16" t="e">
        <f>VLOOKUP(A667,#REF!,3,FALSE)</f>
        <v>#REF!</v>
      </c>
      <c r="D667" s="338"/>
      <c r="E667" s="15">
        <f>VLOOKUP(A667,'[1]תקציב 2012 נכון להיום'!$A$2:$E$1361,5,FALSE)</f>
        <v>31526</v>
      </c>
      <c r="F667" s="15">
        <v>30000</v>
      </c>
      <c r="G667" s="15">
        <v>31513.4</v>
      </c>
      <c r="H667" s="15">
        <v>17418</v>
      </c>
    </row>
    <row r="668" spans="1:8" x14ac:dyDescent="0.15">
      <c r="A668">
        <v>1825200560</v>
      </c>
      <c r="B668" t="s">
        <v>861</v>
      </c>
      <c r="C668" s="16" t="e">
        <f>VLOOKUP(A668,#REF!,3,FALSE)</f>
        <v>#REF!</v>
      </c>
      <c r="D668" s="338"/>
      <c r="E668" s="15">
        <f>VLOOKUP(A668,'[1]תקציב 2012 נכון להיום'!$A$2:$E$1361,5,FALSE)</f>
        <v>13131.5</v>
      </c>
      <c r="F668" s="15">
        <v>17000</v>
      </c>
      <c r="G668" s="15">
        <v>12114</v>
      </c>
      <c r="H668" s="15">
        <v>10270</v>
      </c>
    </row>
    <row r="669" spans="1:8" x14ac:dyDescent="0.15">
      <c r="A669">
        <v>1825200720</v>
      </c>
      <c r="B669" t="s">
        <v>862</v>
      </c>
      <c r="C669" s="16" t="e">
        <f>VLOOKUP(A669,#REF!,3,FALSE)</f>
        <v>#REF!</v>
      </c>
      <c r="D669" s="338"/>
      <c r="E669" s="15">
        <f>VLOOKUP(A669,'[1]תקציב 2012 נכון להיום'!$A$2:$E$1361,5,FALSE)</f>
        <v>1566</v>
      </c>
      <c r="F669" s="15">
        <v>5000</v>
      </c>
      <c r="G669" s="15">
        <v>0</v>
      </c>
      <c r="H669" s="15">
        <v>1909.36</v>
      </c>
    </row>
    <row r="670" spans="1:8" x14ac:dyDescent="0.15">
      <c r="A670">
        <v>1825200732</v>
      </c>
      <c r="B670" t="s">
        <v>863</v>
      </c>
      <c r="C670" s="16" t="e">
        <f>VLOOKUP(A670,#REF!,3,FALSE)</f>
        <v>#REF!</v>
      </c>
      <c r="D670" s="338"/>
      <c r="E670" s="15">
        <f>VLOOKUP(A670,'[1]תקציב 2012 נכון להיום'!$A$2:$E$1361,5,FALSE)</f>
        <v>42908</v>
      </c>
      <c r="F670" s="15">
        <v>51000</v>
      </c>
      <c r="G670" s="15">
        <v>2000</v>
      </c>
      <c r="H670" s="15">
        <v>5500</v>
      </c>
    </row>
    <row r="671" spans="1:8" x14ac:dyDescent="0.15">
      <c r="A671">
        <v>1825200740</v>
      </c>
      <c r="B671" t="s">
        <v>737</v>
      </c>
      <c r="C671" s="16" t="e">
        <f>VLOOKUP(A671,#REF!,3,FALSE)</f>
        <v>#REF!</v>
      </c>
      <c r="D671" s="338"/>
      <c r="E671" s="15">
        <f>VLOOKUP(A671,'[1]תקציב 2012 נכון להיום'!$A$2:$E$1361,5,FALSE)</f>
        <v>9500</v>
      </c>
      <c r="F671" s="15">
        <v>20000</v>
      </c>
      <c r="G671" s="15">
        <v>0</v>
      </c>
      <c r="H671" s="15">
        <v>12445.4</v>
      </c>
    </row>
    <row r="672" spans="1:8" x14ac:dyDescent="0.15">
      <c r="A672">
        <v>1825200750</v>
      </c>
      <c r="B672" t="s">
        <v>864</v>
      </c>
      <c r="C672" s="16" t="e">
        <f>VLOOKUP(A672,#REF!,3,FALSE)</f>
        <v>#REF!</v>
      </c>
      <c r="D672" s="338"/>
      <c r="E672" s="15">
        <f>VLOOKUP(A672,'[1]תקציב 2012 נכון להיום'!$A$2:$E$1361,5,FALSE)</f>
        <v>165272.78</v>
      </c>
      <c r="F672" s="15">
        <v>205000</v>
      </c>
      <c r="G672" s="15">
        <v>212480.06</v>
      </c>
      <c r="H672" s="15">
        <v>304354.92</v>
      </c>
    </row>
    <row r="673" spans="1:8" x14ac:dyDescent="0.15">
      <c r="A673">
        <v>1825200780</v>
      </c>
      <c r="B673" t="s">
        <v>865</v>
      </c>
      <c r="C673" s="16" t="e">
        <f>VLOOKUP(A673,#REF!,3,FALSE)</f>
        <v>#REF!</v>
      </c>
      <c r="D673" s="338"/>
      <c r="E673" s="15">
        <f>VLOOKUP(A673,'[1]תקציב 2012 נכון להיום'!$A$2:$E$1361,5,FALSE)</f>
        <v>20345</v>
      </c>
      <c r="F673" s="15">
        <v>70000</v>
      </c>
      <c r="G673" s="15">
        <v>57440</v>
      </c>
      <c r="H673" s="15">
        <v>80064</v>
      </c>
    </row>
    <row r="674" spans="1:8" x14ac:dyDescent="0.15">
      <c r="A674">
        <v>1825200785</v>
      </c>
      <c r="B674" t="s">
        <v>866</v>
      </c>
      <c r="C674" s="16" t="e">
        <f>VLOOKUP(A674,#REF!,3,FALSE)</f>
        <v>#REF!</v>
      </c>
      <c r="D674" s="338"/>
      <c r="E674" s="15">
        <f>VLOOKUP(A674,'[1]תקציב 2012 נכון להיום'!$A$2:$E$1361,5,FALSE)</f>
        <v>97512</v>
      </c>
      <c r="F674" s="15">
        <v>249406</v>
      </c>
      <c r="G674" s="15">
        <v>85981</v>
      </c>
      <c r="H674" s="15">
        <v>0</v>
      </c>
    </row>
    <row r="675" spans="1:8" x14ac:dyDescent="0.15">
      <c r="A675">
        <v>1825200786</v>
      </c>
      <c r="B675" t="s">
        <v>867</v>
      </c>
      <c r="C675" s="16" t="e">
        <f>VLOOKUP(A675,#REF!,3,FALSE)</f>
        <v>#REF!</v>
      </c>
      <c r="D675" s="338"/>
      <c r="E675" s="15">
        <f>VLOOKUP(A675,'[1]תקציב 2012 נכון להיום'!$A$2:$E$1361,5,FALSE)</f>
        <v>67718</v>
      </c>
      <c r="F675" s="15">
        <v>70000</v>
      </c>
      <c r="G675" s="15">
        <v>85760</v>
      </c>
      <c r="H675" s="15">
        <v>0</v>
      </c>
    </row>
    <row r="676" spans="1:8" ht="14" thickBot="1" x14ac:dyDescent="0.2">
      <c r="A676">
        <v>1825200930</v>
      </c>
      <c r="B676" t="s">
        <v>868</v>
      </c>
      <c r="C676" s="16" t="e">
        <f>VLOOKUP(A676,#REF!,3,FALSE)</f>
        <v>#REF!</v>
      </c>
      <c r="D676" s="339"/>
      <c r="E676" s="15">
        <f>VLOOKUP(A676,'[1]תקציב 2012 נכון להיום'!$A$2:$E$1361,5,FALSE)</f>
        <v>25568</v>
      </c>
      <c r="F676" s="15">
        <v>40000</v>
      </c>
      <c r="G676" s="15">
        <v>27277.4</v>
      </c>
      <c r="H676" s="15">
        <v>24471</v>
      </c>
    </row>
    <row r="677" spans="1:8" x14ac:dyDescent="0.15">
      <c r="A677">
        <v>1826200430</v>
      </c>
      <c r="B677" s="59" t="s">
        <v>869</v>
      </c>
      <c r="C677" s="16" t="e">
        <f>VLOOKUP(A677,#REF!,3,FALSE)</f>
        <v>#REF!</v>
      </c>
      <c r="D677" s="337" t="s">
        <v>1113</v>
      </c>
      <c r="E677" s="15">
        <f>VLOOKUP(A677,'[1]תקציב 2012 נכון להיום'!$A$2:$E$1361,5,FALSE)</f>
        <v>152.76</v>
      </c>
      <c r="F677" s="15">
        <v>2000</v>
      </c>
      <c r="G677" s="15">
        <v>179.76</v>
      </c>
      <c r="H677" s="15">
        <v>117.43</v>
      </c>
    </row>
    <row r="678" spans="1:8" x14ac:dyDescent="0.15">
      <c r="A678">
        <v>1826200432</v>
      </c>
      <c r="B678" s="59" t="s">
        <v>870</v>
      </c>
      <c r="C678" s="16" t="e">
        <f>VLOOKUP(A678,#REF!,3,FALSE)</f>
        <v>#REF!</v>
      </c>
      <c r="D678" s="338"/>
      <c r="E678" s="15">
        <f>VLOOKUP(A678,'[1]תקציב 2012 נכון להיום'!$A$2:$E$1361,5,FALSE)</f>
        <v>0</v>
      </c>
      <c r="F678" s="15">
        <v>18000</v>
      </c>
      <c r="G678" s="15">
        <v>0</v>
      </c>
      <c r="H678" s="15">
        <v>18157.7</v>
      </c>
    </row>
    <row r="679" spans="1:8" x14ac:dyDescent="0.15">
      <c r="A679">
        <v>1826200780</v>
      </c>
      <c r="B679" s="59" t="s">
        <v>871</v>
      </c>
      <c r="C679" s="16" t="e">
        <f>VLOOKUP(A679,#REF!,3,FALSE)</f>
        <v>#REF!</v>
      </c>
      <c r="D679" s="338"/>
      <c r="E679" s="15">
        <f>VLOOKUP(A679,'[1]תקציב 2012 נכון להיום'!$A$2:$E$1361,5,FALSE)</f>
        <v>0</v>
      </c>
      <c r="F679" s="15">
        <v>2000</v>
      </c>
      <c r="G679" s="15">
        <v>0</v>
      </c>
      <c r="H679" s="15">
        <v>0</v>
      </c>
    </row>
    <row r="680" spans="1:8" ht="14" thickBot="1" x14ac:dyDescent="0.2">
      <c r="A680">
        <v>1826200830</v>
      </c>
      <c r="B680" t="s">
        <v>872</v>
      </c>
      <c r="C680" s="16" t="e">
        <f>VLOOKUP(A680,#REF!,3,FALSE)</f>
        <v>#REF!</v>
      </c>
      <c r="D680" s="339"/>
      <c r="E680" s="15">
        <f>VLOOKUP(A680,'[1]תקציב 2012 נכון להיום'!$A$2:$E$1361,5,FALSE)</f>
        <v>44999.99</v>
      </c>
      <c r="F680" s="15">
        <v>45000</v>
      </c>
      <c r="G680" s="15">
        <v>25000</v>
      </c>
      <c r="H680" s="15">
        <v>39999.96</v>
      </c>
    </row>
    <row r="681" spans="1:8" ht="15" thickBot="1" x14ac:dyDescent="0.2">
      <c r="A681">
        <v>1826400410</v>
      </c>
      <c r="B681" t="s">
        <v>873</v>
      </c>
      <c r="C681" s="16" t="e">
        <f>VLOOKUP(A681,#REF!,3,FALSE)</f>
        <v>#REF!</v>
      </c>
      <c r="D681" s="18" t="s">
        <v>1125</v>
      </c>
      <c r="E681" s="15">
        <f>VLOOKUP(A681,'[1]תקציב 2012 נכון להיום'!$A$2:$E$1361,5,FALSE)</f>
        <v>170094.06</v>
      </c>
      <c r="F681" s="15">
        <v>171000</v>
      </c>
      <c r="G681" s="15">
        <v>62533.81</v>
      </c>
      <c r="H681" s="15">
        <v>162603.35</v>
      </c>
    </row>
    <row r="682" spans="1:8" ht="15" thickBot="1" x14ac:dyDescent="0.2">
      <c r="A682">
        <v>1826400430</v>
      </c>
      <c r="B682" t="s">
        <v>874</v>
      </c>
      <c r="C682" s="16" t="e">
        <f>VLOOKUP(A682,#REF!,3,FALSE)</f>
        <v>#REF!</v>
      </c>
      <c r="D682" s="44" t="s">
        <v>1125</v>
      </c>
      <c r="E682" s="15">
        <f>VLOOKUP(A682,'[1]תקציב 2012 נכון להיום'!$A$2:$E$1361,5,FALSE)</f>
        <v>53826.01</v>
      </c>
      <c r="F682" s="15">
        <v>54000</v>
      </c>
      <c r="G682" s="15">
        <v>0</v>
      </c>
      <c r="H682" s="15">
        <v>0</v>
      </c>
    </row>
    <row r="683" spans="1:8" ht="14" thickBot="1" x14ac:dyDescent="0.2">
      <c r="A683">
        <v>1826400540</v>
      </c>
      <c r="B683" t="s">
        <v>875</v>
      </c>
      <c r="C683" s="16" t="e">
        <f>VLOOKUP(A683,#REF!,3,FALSE)</f>
        <v>#REF!</v>
      </c>
      <c r="E683" s="15">
        <f>VLOOKUP(A683,'[1]תקציב 2012 נכון להיום'!$A$2:$E$1361,5,FALSE)</f>
        <v>1885.19</v>
      </c>
      <c r="F683" s="15">
        <v>6000</v>
      </c>
      <c r="G683" s="15">
        <v>4772.1499999999996</v>
      </c>
      <c r="H683" s="15">
        <v>6095.64</v>
      </c>
    </row>
    <row r="684" spans="1:8" x14ac:dyDescent="0.15">
      <c r="A684">
        <v>1826500780</v>
      </c>
      <c r="B684" t="s">
        <v>876</v>
      </c>
      <c r="C684" s="16" t="e">
        <f>VLOOKUP(A684,#REF!,3,FALSE)</f>
        <v>#REF!</v>
      </c>
      <c r="D684" s="340" t="s">
        <v>1113</v>
      </c>
      <c r="E684" s="15">
        <f>VLOOKUP(A684,'[1]תקציב 2012 נכון להיום'!$A$2:$E$1361,5,FALSE)</f>
        <v>16178.31</v>
      </c>
      <c r="F684" s="15">
        <v>24000</v>
      </c>
      <c r="G684" s="15">
        <v>14843.56</v>
      </c>
      <c r="H684" s="15">
        <v>21560.23</v>
      </c>
    </row>
    <row r="685" spans="1:8" x14ac:dyDescent="0.15">
      <c r="A685">
        <v>1829000780</v>
      </c>
      <c r="B685" t="s">
        <v>877</v>
      </c>
      <c r="C685" s="16" t="e">
        <f>VLOOKUP(A685,#REF!,3,FALSE)</f>
        <v>#REF!</v>
      </c>
      <c r="D685" s="341"/>
      <c r="E685" s="15">
        <f>VLOOKUP(A685,'[1]תקציב 2012 נכון להיום'!$A$2:$E$1361,5,FALSE)</f>
        <v>0</v>
      </c>
      <c r="F685" s="15">
        <v>10000</v>
      </c>
      <c r="G685" s="15">
        <v>0</v>
      </c>
      <c r="H685" s="15">
        <v>0</v>
      </c>
    </row>
    <row r="686" spans="1:8" x14ac:dyDescent="0.15">
      <c r="A686">
        <v>1829200750</v>
      </c>
      <c r="B686" s="57" t="s">
        <v>878</v>
      </c>
      <c r="C686" s="16" t="e">
        <f>VLOOKUP(A686,#REF!,3,FALSE)</f>
        <v>#REF!</v>
      </c>
      <c r="D686" s="341"/>
      <c r="E686" s="15">
        <f>VLOOKUP(A686,'[1]תקציב 2012 נכון להיום'!$A$2:$E$1361,5,FALSE)</f>
        <v>702001.43</v>
      </c>
      <c r="F686" s="15">
        <v>1000000</v>
      </c>
      <c r="G686" s="15">
        <v>0</v>
      </c>
      <c r="H686" s="15">
        <v>0</v>
      </c>
    </row>
    <row r="687" spans="1:8" x14ac:dyDescent="0.15">
      <c r="A687">
        <v>1829900750</v>
      </c>
      <c r="B687" t="s">
        <v>879</v>
      </c>
      <c r="C687" s="16" t="e">
        <f>VLOOKUP(A687,#REF!,3,FALSE)</f>
        <v>#REF!</v>
      </c>
      <c r="D687" s="341"/>
      <c r="E687" s="15">
        <f>VLOOKUP(A687,'[1]תקציב 2012 נכון להיום'!$A$2:$E$1361,5,FALSE)</f>
        <v>101038.54</v>
      </c>
      <c r="F687" s="15">
        <v>120000</v>
      </c>
      <c r="G687" s="15">
        <v>353624.3</v>
      </c>
      <c r="H687" s="15">
        <v>1000</v>
      </c>
    </row>
    <row r="688" spans="1:8" x14ac:dyDescent="0.15">
      <c r="A688">
        <v>1829900810</v>
      </c>
      <c r="B688" t="s">
        <v>794</v>
      </c>
      <c r="C688" s="16" t="e">
        <f>VLOOKUP(A688,#REF!,3,FALSE)</f>
        <v>#REF!</v>
      </c>
      <c r="D688" s="341"/>
      <c r="E688" s="15">
        <f>VLOOKUP(A688,'[1]תקציב 2012 נכון להיום'!$A$2:$E$1361,5,FALSE)</f>
        <v>2300000</v>
      </c>
      <c r="F688" s="15">
        <v>2300000</v>
      </c>
      <c r="G688" s="15">
        <v>2600000</v>
      </c>
      <c r="H688" s="15">
        <v>2300000</v>
      </c>
    </row>
    <row r="689" spans="1:8" x14ac:dyDescent="0.15">
      <c r="A689">
        <v>1829900811</v>
      </c>
      <c r="B689" t="s">
        <v>880</v>
      </c>
      <c r="C689" s="16" t="e">
        <f>VLOOKUP(A689,#REF!,3,FALSE)</f>
        <v>#REF!</v>
      </c>
      <c r="D689" s="341"/>
      <c r="E689" s="15">
        <f>VLOOKUP(A689,'[1]תקציב 2012 נכון להיום'!$A$2:$E$1361,5,FALSE)</f>
        <v>20179.37</v>
      </c>
      <c r="F689" s="15">
        <v>13309</v>
      </c>
      <c r="G689" s="15">
        <v>15169.8</v>
      </c>
      <c r="H689" s="15">
        <v>13308.99</v>
      </c>
    </row>
    <row r="690" spans="1:8" x14ac:dyDescent="0.15">
      <c r="A690">
        <v>1829900910</v>
      </c>
      <c r="B690" t="s">
        <v>881</v>
      </c>
      <c r="C690" s="16" t="e">
        <f>VLOOKUP(A690,#REF!,3,FALSE)</f>
        <v>#REF!</v>
      </c>
      <c r="D690" s="341"/>
      <c r="E690" s="15">
        <f>VLOOKUP(A690,'[1]תקציב 2012 נכון להיום'!$A$2:$E$1361,5,FALSE)</f>
        <v>12500</v>
      </c>
      <c r="F690" s="15">
        <v>17000</v>
      </c>
      <c r="G690" s="15">
        <v>0</v>
      </c>
      <c r="H690" s="15">
        <v>0</v>
      </c>
    </row>
    <row r="691" spans="1:8" x14ac:dyDescent="0.15">
      <c r="A691">
        <v>1829910810</v>
      </c>
      <c r="B691" s="59" t="s">
        <v>882</v>
      </c>
      <c r="C691" s="16" t="e">
        <f>VLOOKUP(A691,#REF!,3,FALSE)</f>
        <v>#REF!</v>
      </c>
      <c r="D691" s="341"/>
      <c r="E691" s="15">
        <f>VLOOKUP(A691,'[1]תקציב 2012 נכון להיום'!$A$2:$E$1361,5,FALSE)</f>
        <v>23200</v>
      </c>
      <c r="F691" s="15">
        <v>250000</v>
      </c>
      <c r="G691" s="15">
        <v>0</v>
      </c>
      <c r="H691" s="15">
        <v>0</v>
      </c>
    </row>
    <row r="692" spans="1:8" x14ac:dyDescent="0.15">
      <c r="A692">
        <v>1836100810</v>
      </c>
      <c r="B692" t="s">
        <v>883</v>
      </c>
      <c r="C692" s="16" t="e">
        <f>VLOOKUP(A692,#REF!,3,FALSE)</f>
        <v>#REF!</v>
      </c>
      <c r="D692" s="341"/>
      <c r="E692" s="15">
        <f>VLOOKUP(A692,'[1]תקציב 2012 נכון להיום'!$A$2:$E$1361,5,FALSE)</f>
        <v>180000</v>
      </c>
      <c r="F692" s="15">
        <v>180000</v>
      </c>
      <c r="G692" s="15">
        <v>180000</v>
      </c>
      <c r="H692" s="15">
        <v>180000</v>
      </c>
    </row>
    <row r="693" spans="1:8" ht="14" thickBot="1" x14ac:dyDescent="0.2">
      <c r="A693">
        <v>1851000810</v>
      </c>
      <c r="B693" s="59" t="s">
        <v>794</v>
      </c>
      <c r="C693" s="16" t="e">
        <f>VLOOKUP(A693,#REF!,3,FALSE)</f>
        <v>#REF!</v>
      </c>
      <c r="D693" s="342"/>
      <c r="E693" s="15">
        <f>VLOOKUP(A693,'[1]תקציב 2012 נכון להיום'!$A$2:$E$1361,5,FALSE)</f>
        <v>1651076</v>
      </c>
      <c r="F693" s="15">
        <v>1605000</v>
      </c>
      <c r="G693" s="15">
        <v>1605170</v>
      </c>
      <c r="H693" s="15">
        <v>1582000</v>
      </c>
    </row>
    <row r="694" spans="1:8" x14ac:dyDescent="0.15">
      <c r="A694">
        <v>1860000410</v>
      </c>
      <c r="B694" t="s">
        <v>873</v>
      </c>
      <c r="C694" s="16" t="e">
        <f>VLOOKUP(A694,#REF!,3,FALSE)</f>
        <v>#REF!</v>
      </c>
      <c r="D694" s="337" t="s">
        <v>1126</v>
      </c>
      <c r="E694" s="15">
        <f>VLOOKUP(A694,'[1]תקציב 2012 נכון להיום'!$A$2:$E$1361,5,FALSE)</f>
        <v>49896.5</v>
      </c>
      <c r="F694" s="15">
        <v>60000</v>
      </c>
      <c r="G694" s="15">
        <v>59986.01</v>
      </c>
      <c r="H694" s="15">
        <v>49490.42</v>
      </c>
    </row>
    <row r="695" spans="1:8" x14ac:dyDescent="0.15">
      <c r="A695">
        <v>1860000470</v>
      </c>
      <c r="B695" t="s">
        <v>884</v>
      </c>
      <c r="C695" s="16" t="e">
        <f>VLOOKUP(A695,#REF!,3,FALSE)</f>
        <v>#REF!</v>
      </c>
      <c r="D695" s="338"/>
      <c r="E695" s="15">
        <f>VLOOKUP(A695,'[1]תקציב 2012 נכון להיום'!$A$2:$E$1361,5,FALSE)</f>
        <v>2000</v>
      </c>
      <c r="F695" s="15">
        <v>2000</v>
      </c>
      <c r="G695" s="15">
        <v>1999.15</v>
      </c>
      <c r="H695" s="15">
        <v>0</v>
      </c>
    </row>
    <row r="696" spans="1:8" x14ac:dyDescent="0.15">
      <c r="A696">
        <v>1860000520</v>
      </c>
      <c r="B696" t="s">
        <v>571</v>
      </c>
      <c r="C696" s="16" t="e">
        <f>VLOOKUP(A696,#REF!,3,FALSE)</f>
        <v>#REF!</v>
      </c>
      <c r="D696" s="338"/>
      <c r="E696" s="15">
        <f>VLOOKUP(A696,'[1]תקציב 2012 נכון להיום'!$A$2:$E$1361,5,FALSE)</f>
        <v>0</v>
      </c>
      <c r="F696" s="15">
        <v>2000</v>
      </c>
      <c r="G696" s="15">
        <v>0</v>
      </c>
      <c r="H696" s="15">
        <v>0</v>
      </c>
    </row>
    <row r="697" spans="1:8" x14ac:dyDescent="0.15">
      <c r="A697">
        <v>1860000522</v>
      </c>
      <c r="B697" t="s">
        <v>885</v>
      </c>
      <c r="C697" s="16" t="e">
        <f>VLOOKUP(A697,#REF!,3,FALSE)</f>
        <v>#REF!</v>
      </c>
      <c r="D697" s="338"/>
      <c r="E697" s="15">
        <f>VLOOKUP(A697,'[1]תקציב 2012 נכון להיום'!$A$2:$E$1361,5,FALSE)</f>
        <v>0</v>
      </c>
      <c r="F697" s="15">
        <v>1500</v>
      </c>
      <c r="G697" s="15">
        <v>0</v>
      </c>
      <c r="H697" s="15">
        <v>0</v>
      </c>
    </row>
    <row r="698" spans="1:8" x14ac:dyDescent="0.15">
      <c r="A698">
        <v>1860000780</v>
      </c>
      <c r="B698" t="s">
        <v>580</v>
      </c>
      <c r="C698" s="16" t="e">
        <f>VLOOKUP(A698,#REF!,3,FALSE)</f>
        <v>#REF!</v>
      </c>
      <c r="D698" s="338"/>
      <c r="E698" s="15">
        <f>VLOOKUP(A698,'[1]תקציב 2012 נכון להיום'!$A$2:$E$1361,5,FALSE)</f>
        <v>141419.53</v>
      </c>
      <c r="F698" s="15">
        <v>231670</v>
      </c>
      <c r="G698" s="15">
        <v>149103.19</v>
      </c>
      <c r="H698" s="15">
        <v>151521.9</v>
      </c>
    </row>
    <row r="699" spans="1:8" x14ac:dyDescent="0.15">
      <c r="A699">
        <v>1860000910</v>
      </c>
      <c r="B699" t="s">
        <v>741</v>
      </c>
      <c r="C699" s="16" t="e">
        <f>VLOOKUP(A699,#REF!,3,FALSE)</f>
        <v>#REF!</v>
      </c>
      <c r="D699" s="338"/>
      <c r="E699" s="15">
        <f>VLOOKUP(A699,'[1]תקציב 2012 נכון להיום'!$A$2:$E$1361,5,FALSE)</f>
        <v>25858</v>
      </c>
      <c r="F699" s="15">
        <v>25858</v>
      </c>
      <c r="G699" s="15">
        <v>0</v>
      </c>
      <c r="H699" s="15">
        <v>0</v>
      </c>
    </row>
    <row r="700" spans="1:8" ht="14" thickBot="1" x14ac:dyDescent="0.2">
      <c r="A700">
        <v>1869000980</v>
      </c>
      <c r="B700" t="s">
        <v>886</v>
      </c>
      <c r="C700" s="16" t="e">
        <f>VLOOKUP(A700,#REF!,3,FALSE)</f>
        <v>#REF!</v>
      </c>
      <c r="D700" s="339"/>
      <c r="E700" s="15">
        <f>VLOOKUP(A700,'[1]תקציב 2012 נכון להיום'!$A$2:$E$1361,5,FALSE)</f>
        <v>34141.22</v>
      </c>
      <c r="F700" s="15">
        <v>72000</v>
      </c>
      <c r="G700" s="15">
        <v>45842.37</v>
      </c>
      <c r="H700" s="15">
        <v>0</v>
      </c>
    </row>
    <row r="701" spans="1:8" ht="14" thickBot="1" x14ac:dyDescent="0.2">
      <c r="A701">
        <v>1879000810</v>
      </c>
      <c r="B701" t="s">
        <v>887</v>
      </c>
      <c r="C701" s="16" t="e">
        <f>VLOOKUP(A701,#REF!,3,FALSE)</f>
        <v>#REF!</v>
      </c>
      <c r="E701" s="15">
        <f>VLOOKUP(A701,'[1]תקציב 2012 נכון להיום'!$A$2:$E$1361,5,FALSE)</f>
        <v>140019</v>
      </c>
      <c r="F701" s="15">
        <v>140019</v>
      </c>
      <c r="G701" s="15">
        <v>140019</v>
      </c>
      <c r="H701" s="15">
        <v>140019</v>
      </c>
    </row>
    <row r="702" spans="1:8" ht="15" thickBot="1" x14ac:dyDescent="0.2">
      <c r="A702">
        <v>1913000750</v>
      </c>
      <c r="B702" s="59" t="s">
        <v>714</v>
      </c>
      <c r="C702" s="16" t="e">
        <f>VLOOKUP(A702,#REF!,3,FALSE)</f>
        <v>#REF!</v>
      </c>
      <c r="D702" s="18" t="s">
        <v>1113</v>
      </c>
      <c r="E702" s="15">
        <f>VLOOKUP(A702,'[1]תקציב 2012 נכון להיום'!$A$2:$E$1361,5,FALSE)</f>
        <v>177328.36</v>
      </c>
      <c r="F702" s="15">
        <v>280778</v>
      </c>
      <c r="G702" s="15">
        <v>178940.34</v>
      </c>
      <c r="H702" s="15">
        <v>69995.62</v>
      </c>
    </row>
    <row r="703" spans="1:8" x14ac:dyDescent="0.15">
      <c r="A703">
        <v>1931000450</v>
      </c>
      <c r="B703" t="s">
        <v>888</v>
      </c>
      <c r="C703" s="16" t="e">
        <f>VLOOKUP(A703,#REF!,3,FALSE)</f>
        <v>#REF!</v>
      </c>
      <c r="E703" s="15">
        <f>VLOOKUP(A703,'[1]תקציב 2012 נכון להיום'!$A$2:$E$1361,5,FALSE)</f>
        <v>1170</v>
      </c>
      <c r="F703" s="15">
        <v>15000</v>
      </c>
      <c r="G703" s="15">
        <v>11802</v>
      </c>
      <c r="H703" s="15">
        <v>4600</v>
      </c>
    </row>
    <row r="704" spans="1:8" x14ac:dyDescent="0.15">
      <c r="A704">
        <v>1931000511</v>
      </c>
      <c r="B704" t="s">
        <v>889</v>
      </c>
      <c r="C704" s="16" t="e">
        <f>VLOOKUP(A704,#REF!,3,FALSE)</f>
        <v>#REF!</v>
      </c>
      <c r="E704" s="15">
        <f>VLOOKUP(A704,'[1]תקציב 2012 נכון להיום'!$A$2:$E$1361,5,FALSE)</f>
        <v>0</v>
      </c>
      <c r="F704" s="15">
        <v>2000</v>
      </c>
      <c r="G704" s="15">
        <v>0</v>
      </c>
      <c r="H704" s="15">
        <v>0</v>
      </c>
    </row>
    <row r="705" spans="1:9" x14ac:dyDescent="0.15">
      <c r="A705">
        <v>1931000560</v>
      </c>
      <c r="B705" t="s">
        <v>890</v>
      </c>
      <c r="C705" s="16" t="e">
        <f>VLOOKUP(A705,#REF!,3,FALSE)</f>
        <v>#REF!</v>
      </c>
      <c r="E705" s="15">
        <f>VLOOKUP(A705,'[1]תקציב 2012 נכון להיום'!$A$2:$E$1361,5,FALSE)</f>
        <v>2184.1</v>
      </c>
      <c r="F705" s="15">
        <v>12000</v>
      </c>
      <c r="G705" s="15">
        <v>27741.37</v>
      </c>
      <c r="H705" s="15">
        <v>4096.13</v>
      </c>
    </row>
    <row r="706" spans="1:9" ht="14" thickBot="1" x14ac:dyDescent="0.2">
      <c r="A706">
        <v>1931000731</v>
      </c>
      <c r="B706" t="s">
        <v>891</v>
      </c>
      <c r="C706" s="16" t="e">
        <f>VLOOKUP(A706,#REF!,3,FALSE)</f>
        <v>#REF!</v>
      </c>
      <c r="E706" s="15">
        <f>VLOOKUP(A706,'[1]תקציב 2012 נכון להיום'!$A$2:$E$1361,5,FALSE)</f>
        <v>3917.7</v>
      </c>
      <c r="F706" s="15">
        <v>7500</v>
      </c>
      <c r="G706" s="15">
        <v>14317.57</v>
      </c>
      <c r="H706" s="15">
        <v>13086.68</v>
      </c>
    </row>
    <row r="707" spans="1:9" ht="15" thickBot="1" x14ac:dyDescent="0.2">
      <c r="A707">
        <v>1931000750</v>
      </c>
      <c r="B707" s="59" t="s">
        <v>714</v>
      </c>
      <c r="C707" s="16" t="e">
        <f>VLOOKUP(A707,#REF!,3,FALSE)</f>
        <v>#REF!</v>
      </c>
      <c r="D707" s="44" t="s">
        <v>1147</v>
      </c>
      <c r="E707" s="15">
        <f>VLOOKUP(A707,'[1]תקציב 2012 נכון להיום'!$A$2:$E$1361,5,FALSE)</f>
        <v>130432.8</v>
      </c>
      <c r="F707" s="15">
        <v>370000</v>
      </c>
      <c r="G707" s="15">
        <v>420906.76</v>
      </c>
      <c r="H707" s="15">
        <v>305891.03999999998</v>
      </c>
    </row>
    <row r="708" spans="1:9" ht="14" thickBot="1" x14ac:dyDescent="0.2">
      <c r="A708">
        <v>1931000980</v>
      </c>
      <c r="B708" t="s">
        <v>580</v>
      </c>
      <c r="C708" s="16" t="e">
        <f>VLOOKUP(A708,#REF!,3,FALSE)</f>
        <v>#REF!</v>
      </c>
      <c r="E708" s="15">
        <f>VLOOKUP(A708,'[1]תקציב 2012 נכון להיום'!$A$2:$E$1361,5,FALSE)</f>
        <v>58120.47</v>
      </c>
      <c r="F708" s="15">
        <v>50000</v>
      </c>
      <c r="G708" s="15">
        <v>57674.46</v>
      </c>
      <c r="H708" s="15">
        <v>296995</v>
      </c>
    </row>
    <row r="709" spans="1:9" x14ac:dyDescent="0.15">
      <c r="A709">
        <v>1937000750</v>
      </c>
      <c r="B709" t="s">
        <v>892</v>
      </c>
      <c r="C709" s="16" t="e">
        <f>VLOOKUP(A709,#REF!,3,FALSE)</f>
        <v>#REF!</v>
      </c>
      <c r="D709" s="337" t="s">
        <v>1113</v>
      </c>
      <c r="E709" s="15">
        <f>VLOOKUP(A709,'[1]תקציב 2012 נכון להיום'!$A$2:$E$1361,5,FALSE)</f>
        <v>177453</v>
      </c>
      <c r="F709" s="15">
        <v>350000</v>
      </c>
      <c r="G709" s="15">
        <v>461434</v>
      </c>
      <c r="H709" s="15">
        <v>0</v>
      </c>
    </row>
    <row r="710" spans="1:9" ht="14" thickBot="1" x14ac:dyDescent="0.2">
      <c r="A710">
        <v>1937000780</v>
      </c>
      <c r="B710" t="s">
        <v>580</v>
      </c>
      <c r="C710" s="16" t="e">
        <f>VLOOKUP(A710,#REF!,3,FALSE)</f>
        <v>#REF!</v>
      </c>
      <c r="D710" s="339"/>
      <c r="E710" s="15">
        <f>VLOOKUP(A710,'[1]תקציב 2012 נכון להיום'!$A$2:$E$1361,5,FALSE)</f>
        <v>71967.259999999995</v>
      </c>
      <c r="F710" s="15">
        <v>45000</v>
      </c>
      <c r="G710" s="15">
        <v>69499.27</v>
      </c>
      <c r="H710" s="15">
        <v>24685.21</v>
      </c>
    </row>
    <row r="711" spans="1:9" x14ac:dyDescent="0.15">
      <c r="A711">
        <v>1938000422</v>
      </c>
      <c r="B711" t="s">
        <v>893</v>
      </c>
      <c r="C711" s="16" t="e">
        <f>VLOOKUP(A711,#REF!,3,FALSE)</f>
        <v>#REF!</v>
      </c>
      <c r="E711" s="15">
        <f>VLOOKUP(A711,'[1]תקציב 2012 נכון להיום'!$A$2:$E$1361,5,FALSE)</f>
        <v>6037.4</v>
      </c>
      <c r="F711" s="15">
        <v>8000</v>
      </c>
      <c r="G711" s="15">
        <v>6695.26</v>
      </c>
      <c r="H711" s="15">
        <v>6100.01</v>
      </c>
    </row>
    <row r="712" spans="1:9" x14ac:dyDescent="0.15">
      <c r="A712">
        <v>1938000430</v>
      </c>
      <c r="B712" t="s">
        <v>839</v>
      </c>
      <c r="C712" s="16" t="e">
        <f>VLOOKUP(A712,#REF!,3,FALSE)</f>
        <v>#REF!</v>
      </c>
      <c r="E712" s="15">
        <f>VLOOKUP(A712,'[1]תקציב 2012 נכון להיום'!$A$2:$E$1361,5,FALSE)</f>
        <v>556138</v>
      </c>
      <c r="F712" s="15">
        <v>700000</v>
      </c>
      <c r="G712" s="15">
        <v>645347.80000000005</v>
      </c>
      <c r="H712" s="15">
        <v>794730.32</v>
      </c>
    </row>
    <row r="713" spans="1:9" x14ac:dyDescent="0.15">
      <c r="A713">
        <v>1938000450</v>
      </c>
      <c r="B713" t="s">
        <v>894</v>
      </c>
      <c r="C713" s="16" t="e">
        <f>VLOOKUP(A713,#REF!,3,FALSE)</f>
        <v>#REF!</v>
      </c>
      <c r="E713" s="15">
        <f>VLOOKUP(A713,'[1]תקציב 2012 נכון להיום'!$A$2:$E$1361,5,FALSE)</f>
        <v>11138</v>
      </c>
      <c r="F713" s="15">
        <v>12000</v>
      </c>
      <c r="G713" s="15">
        <v>10767.4</v>
      </c>
      <c r="H713" s="15">
        <v>24187</v>
      </c>
    </row>
    <row r="714" spans="1:9" x14ac:dyDescent="0.15">
      <c r="A714">
        <v>1938000511</v>
      </c>
      <c r="B714" t="s">
        <v>895</v>
      </c>
      <c r="C714" s="16" t="e">
        <f>VLOOKUP(A714,#REF!,3,FALSE)</f>
        <v>#REF!</v>
      </c>
      <c r="E714" s="15">
        <f>VLOOKUP(A714,'[1]תקציב 2012 נכון להיום'!$A$2:$E$1361,5,FALSE)</f>
        <v>80785.88</v>
      </c>
      <c r="F714" s="15">
        <v>90000</v>
      </c>
      <c r="G714" s="15">
        <v>89627.67</v>
      </c>
      <c r="H714" s="15">
        <v>96494.62</v>
      </c>
    </row>
    <row r="715" spans="1:9" ht="14" thickBot="1" x14ac:dyDescent="0.2">
      <c r="A715">
        <v>1938000512</v>
      </c>
      <c r="B715" t="s">
        <v>1127</v>
      </c>
      <c r="C715" s="16" t="e">
        <f>VLOOKUP(A715,#REF!,3,FALSE)</f>
        <v>#REF!</v>
      </c>
      <c r="E715" s="15">
        <f>VLOOKUP(A715,'[1]תקציב 2012 נכון להיום'!$A$2:$E$1361,5,FALSE)</f>
        <v>0</v>
      </c>
      <c r="F715" s="15">
        <v>250</v>
      </c>
      <c r="G715" s="15">
        <v>0</v>
      </c>
      <c r="H715" s="15">
        <v>0</v>
      </c>
    </row>
    <row r="716" spans="1:9" ht="15" thickBot="1" x14ac:dyDescent="0.2">
      <c r="A716">
        <v>1938000540</v>
      </c>
      <c r="B716" t="s">
        <v>875</v>
      </c>
      <c r="C716" s="16" t="e">
        <f>VLOOKUP(A716,#REF!,3,FALSE)</f>
        <v>#REF!</v>
      </c>
      <c r="D716" s="21" t="s">
        <v>1111</v>
      </c>
      <c r="E716" s="15">
        <f>VLOOKUP(A716,'[1]תקציב 2012 נכון להיום'!$A$2:$E$1361,5,FALSE)</f>
        <v>527735.57999999996</v>
      </c>
      <c r="F716" s="15">
        <v>840000</v>
      </c>
      <c r="G716" s="15">
        <v>728574.16</v>
      </c>
      <c r="H716" s="15">
        <v>808144</v>
      </c>
      <c r="I716" s="15"/>
    </row>
    <row r="717" spans="1:9" x14ac:dyDescent="0.15">
      <c r="A717">
        <v>1938000560</v>
      </c>
      <c r="B717" t="s">
        <v>664</v>
      </c>
      <c r="C717" s="16" t="e">
        <f>VLOOKUP(A717,#REF!,3,FALSE)</f>
        <v>#REF!</v>
      </c>
      <c r="E717" s="15">
        <f>VLOOKUP(A717,'[1]תקציב 2012 נכון להיום'!$A$2:$E$1361,5,FALSE)</f>
        <v>242.64</v>
      </c>
      <c r="F717" s="15">
        <v>1000</v>
      </c>
      <c r="G717" s="15">
        <v>0</v>
      </c>
      <c r="H717" s="15">
        <v>0</v>
      </c>
    </row>
    <row r="718" spans="1:9" x14ac:dyDescent="0.15">
      <c r="A718">
        <v>1938000570</v>
      </c>
      <c r="B718" t="s">
        <v>896</v>
      </c>
      <c r="C718" s="16" t="e">
        <f>VLOOKUP(A718,#REF!,3,FALSE)</f>
        <v>#REF!</v>
      </c>
      <c r="E718" s="15">
        <f>VLOOKUP(A718,'[1]תקציב 2012 נכון להיום'!$A$2:$E$1361,5,FALSE)</f>
        <v>88180.76</v>
      </c>
      <c r="F718" s="15">
        <v>186284</v>
      </c>
      <c r="G718" s="15">
        <v>124939.92</v>
      </c>
      <c r="H718" s="15">
        <v>214256</v>
      </c>
    </row>
    <row r="719" spans="1:9" x14ac:dyDescent="0.15">
      <c r="A719">
        <v>1938000571</v>
      </c>
      <c r="B719" t="s">
        <v>897</v>
      </c>
      <c r="C719" s="16" t="e">
        <f>VLOOKUP(A719,#REF!,3,FALSE)</f>
        <v>#REF!</v>
      </c>
      <c r="E719" s="15">
        <f>VLOOKUP(A719,'[1]תקציב 2012 נכון להיום'!$A$2:$E$1361,5,FALSE)</f>
        <v>49553.32</v>
      </c>
      <c r="F719" s="15">
        <v>80400</v>
      </c>
      <c r="G719" s="15">
        <v>90697.41</v>
      </c>
      <c r="H719" s="15">
        <v>19129.349999999999</v>
      </c>
    </row>
    <row r="720" spans="1:9" x14ac:dyDescent="0.15">
      <c r="A720">
        <v>1938000731</v>
      </c>
      <c r="B720" t="s">
        <v>898</v>
      </c>
      <c r="C720" s="16" t="e">
        <f>VLOOKUP(A720,#REF!,3,FALSE)</f>
        <v>#REF!</v>
      </c>
      <c r="E720" s="15">
        <f>VLOOKUP(A720,'[1]תקציב 2012 נכון להיום'!$A$2:$E$1361,5,FALSE)</f>
        <v>5044.03</v>
      </c>
      <c r="F720" s="15">
        <v>12000</v>
      </c>
      <c r="G720" s="15">
        <v>16940.099999999999</v>
      </c>
      <c r="H720" s="15">
        <v>10700.09</v>
      </c>
    </row>
    <row r="721" spans="1:8" x14ac:dyDescent="0.15">
      <c r="A721">
        <v>1938000740</v>
      </c>
      <c r="B721" t="s">
        <v>737</v>
      </c>
      <c r="C721" s="16" t="e">
        <f>VLOOKUP(A721,#REF!,3,FALSE)</f>
        <v>#REF!</v>
      </c>
      <c r="E721" s="15">
        <f>VLOOKUP(A721,'[1]תקציב 2012 נכון להיום'!$A$2:$E$1361,5,FALSE)</f>
        <v>750</v>
      </c>
      <c r="F721" s="15">
        <v>1500</v>
      </c>
      <c r="G721" s="15">
        <v>1000</v>
      </c>
      <c r="H721" s="15">
        <v>1000</v>
      </c>
    </row>
    <row r="722" spans="1:8" x14ac:dyDescent="0.15">
      <c r="A722">
        <v>1938000750</v>
      </c>
      <c r="B722" t="s">
        <v>899</v>
      </c>
      <c r="C722" s="16" t="e">
        <f>VLOOKUP(A722,#REF!,3,FALSE)</f>
        <v>#REF!</v>
      </c>
      <c r="E722" s="15">
        <f>VLOOKUP(A722,'[1]תקציב 2012 נכון להיום'!$A$2:$E$1361,5,FALSE)</f>
        <v>226291</v>
      </c>
      <c r="F722" s="15">
        <v>310000</v>
      </c>
      <c r="G722" s="15">
        <v>282743</v>
      </c>
      <c r="H722" s="15">
        <v>288995</v>
      </c>
    </row>
    <row r="723" spans="1:8" x14ac:dyDescent="0.15">
      <c r="A723">
        <v>1938000751</v>
      </c>
      <c r="B723" t="s">
        <v>714</v>
      </c>
      <c r="C723" s="16" t="e">
        <f>VLOOKUP(A723,#REF!,3,FALSE)</f>
        <v>#REF!</v>
      </c>
      <c r="E723" s="15">
        <f>VLOOKUP(A723,'[1]תקציב 2012 נכון להיום'!$A$2:$E$1361,5,FALSE)</f>
        <v>11621.57</v>
      </c>
      <c r="F723" s="15">
        <v>12000</v>
      </c>
      <c r="G723" s="15">
        <v>0</v>
      </c>
      <c r="H723" s="15">
        <v>3432</v>
      </c>
    </row>
    <row r="724" spans="1:8" x14ac:dyDescent="0.15">
      <c r="A724">
        <v>1938000760</v>
      </c>
      <c r="B724" t="s">
        <v>900</v>
      </c>
      <c r="C724" s="16" t="e">
        <f>VLOOKUP(A724,#REF!,3,FALSE)</f>
        <v>#REF!</v>
      </c>
      <c r="E724" s="15">
        <f>VLOOKUP(A724,'[1]תקציב 2012 נכון להיום'!$A$2:$E$1361,5,FALSE)</f>
        <v>13712.86</v>
      </c>
      <c r="F724" s="15">
        <v>18350</v>
      </c>
      <c r="G724" s="15">
        <v>0</v>
      </c>
      <c r="H724" s="15">
        <v>923.36</v>
      </c>
    </row>
    <row r="725" spans="1:8" x14ac:dyDescent="0.15">
      <c r="A725">
        <v>1938000780</v>
      </c>
      <c r="B725" t="s">
        <v>580</v>
      </c>
      <c r="C725" s="16" t="e">
        <f>VLOOKUP(A725,#REF!,3,FALSE)</f>
        <v>#REF!</v>
      </c>
      <c r="E725" s="15">
        <f>VLOOKUP(A725,'[1]תקציב 2012 נכון להיום'!$A$2:$E$1361,5,FALSE)</f>
        <v>48977.38</v>
      </c>
      <c r="F725" s="15">
        <v>40000</v>
      </c>
      <c r="G725" s="15">
        <v>46119.360000000001</v>
      </c>
      <c r="H725" s="15">
        <v>35281.879999999997</v>
      </c>
    </row>
    <row r="726" spans="1:8" x14ac:dyDescent="0.15">
      <c r="A726">
        <v>1938000910</v>
      </c>
      <c r="B726" t="s">
        <v>901</v>
      </c>
      <c r="C726" s="16" t="e">
        <f>VLOOKUP(A726,#REF!,3,FALSE)</f>
        <v>#REF!</v>
      </c>
      <c r="E726" s="15">
        <f>VLOOKUP(A726,'[1]תקציב 2012 נכון להיום'!$A$2:$E$1361,5,FALSE)</f>
        <v>60000</v>
      </c>
      <c r="F726" s="15">
        <v>60000</v>
      </c>
      <c r="G726" s="15">
        <v>60000</v>
      </c>
      <c r="H726" s="15">
        <v>60000</v>
      </c>
    </row>
    <row r="727" spans="1:8" x14ac:dyDescent="0.15">
      <c r="A727">
        <v>1938000980</v>
      </c>
      <c r="B727" t="s">
        <v>580</v>
      </c>
      <c r="C727" s="16" t="e">
        <f>VLOOKUP(A727,#REF!,3,FALSE)</f>
        <v>#REF!</v>
      </c>
      <c r="E727" s="15">
        <f>VLOOKUP(A727,'[1]תקציב 2012 נכון להיום'!$A$2:$E$1361,5,FALSE)</f>
        <v>41894.800000000003</v>
      </c>
      <c r="F727" s="15">
        <v>40000</v>
      </c>
      <c r="G727" s="15">
        <v>10980</v>
      </c>
      <c r="H727" s="15">
        <v>6911</v>
      </c>
    </row>
    <row r="728" spans="1:8" x14ac:dyDescent="0.15">
      <c r="A728">
        <v>1938100560</v>
      </c>
      <c r="B728" t="s">
        <v>820</v>
      </c>
      <c r="C728" s="16" t="e">
        <f>VLOOKUP(A728,#REF!,3,FALSE)</f>
        <v>#REF!</v>
      </c>
      <c r="E728" s="15">
        <f>VLOOKUP(A728,'[1]תקציב 2012 נכון להיום'!$A$2:$E$1361,5,FALSE)</f>
        <v>0</v>
      </c>
      <c r="F728" s="15">
        <v>1000</v>
      </c>
      <c r="G728" s="15">
        <v>521</v>
      </c>
      <c r="H728" s="15">
        <v>1169.0999999999999</v>
      </c>
    </row>
    <row r="729" spans="1:8" x14ac:dyDescent="0.15">
      <c r="A729">
        <v>1938100780</v>
      </c>
      <c r="B729" t="s">
        <v>580</v>
      </c>
      <c r="C729" s="16" t="e">
        <f>VLOOKUP(A729,#REF!,3,FALSE)</f>
        <v>#REF!</v>
      </c>
      <c r="E729" s="15">
        <f>VLOOKUP(A729,'[1]תקציב 2012 נכון להיום'!$A$2:$E$1361,5,FALSE)</f>
        <v>1429.41</v>
      </c>
      <c r="F729" s="15">
        <v>3000</v>
      </c>
      <c r="G729" s="15">
        <v>2589.66</v>
      </c>
      <c r="H729" s="15">
        <v>2606.98</v>
      </c>
    </row>
    <row r="730" spans="1:8" x14ac:dyDescent="0.15">
      <c r="A730">
        <v>1939000410</v>
      </c>
      <c r="B730" s="59" t="s">
        <v>902</v>
      </c>
      <c r="C730" s="16" t="e">
        <f>VLOOKUP(A730,#REF!,3,FALSE)</f>
        <v>#REF!</v>
      </c>
      <c r="E730" s="15">
        <f>VLOOKUP(A730,'[1]תקציב 2012 נכון להיום'!$A$2:$E$1361,5,FALSE)</f>
        <v>69207.240000000005</v>
      </c>
      <c r="F730" s="15">
        <v>200000</v>
      </c>
      <c r="G730" s="15">
        <v>266603.59999999998</v>
      </c>
      <c r="H730" s="15">
        <v>344306.74</v>
      </c>
    </row>
    <row r="731" spans="1:8" x14ac:dyDescent="0.15">
      <c r="A731">
        <v>1939000560</v>
      </c>
      <c r="B731" t="s">
        <v>820</v>
      </c>
      <c r="C731" s="16" t="e">
        <f>VLOOKUP(A731,#REF!,3,FALSE)</f>
        <v>#REF!</v>
      </c>
      <c r="E731" s="15">
        <f>VLOOKUP(A731,'[1]תקציב 2012 נכון להיום'!$A$2:$E$1361,5,FALSE)</f>
        <v>156.41999999999999</v>
      </c>
      <c r="F731" s="15">
        <v>700</v>
      </c>
      <c r="G731" s="15">
        <v>123.5</v>
      </c>
      <c r="H731" s="15">
        <v>457.72</v>
      </c>
    </row>
    <row r="732" spans="1:8" x14ac:dyDescent="0.15">
      <c r="A732">
        <v>1939000730</v>
      </c>
      <c r="B732" t="s">
        <v>903</v>
      </c>
      <c r="C732" s="16" t="e">
        <f>VLOOKUP(A732,#REF!,3,FALSE)</f>
        <v>#REF!</v>
      </c>
      <c r="D732" s="43"/>
      <c r="E732" s="15">
        <f>VLOOKUP(A732,'[1]תקציב 2012 נכון להיום'!$A$2:$E$1361,5,FALSE)</f>
        <v>84103.09</v>
      </c>
      <c r="F732" s="15">
        <v>64300</v>
      </c>
      <c r="G732" s="15">
        <v>74414.100000000006</v>
      </c>
      <c r="H732" s="15">
        <v>50000</v>
      </c>
    </row>
    <row r="733" spans="1:8" x14ac:dyDescent="0.15">
      <c r="A733">
        <v>1939000731</v>
      </c>
      <c r="B733" t="s">
        <v>904</v>
      </c>
      <c r="C733" s="16" t="e">
        <f>VLOOKUP(A733,#REF!,3,FALSE)</f>
        <v>#REF!</v>
      </c>
      <c r="D733" s="43"/>
      <c r="E733" s="15">
        <f>VLOOKUP(A733,'[1]תקציב 2012 נכון להיום'!$A$2:$E$1361,5,FALSE)</f>
        <v>125664.22</v>
      </c>
      <c r="F733" s="15">
        <v>140000</v>
      </c>
      <c r="G733" s="15">
        <v>137210.99</v>
      </c>
      <c r="H733" s="15">
        <v>81610.13</v>
      </c>
    </row>
    <row r="734" spans="1:8" x14ac:dyDescent="0.15">
      <c r="A734">
        <v>1939000780</v>
      </c>
      <c r="B734" t="s">
        <v>580</v>
      </c>
      <c r="C734" s="16" t="e">
        <f>VLOOKUP(A734,#REF!,3,FALSE)</f>
        <v>#REF!</v>
      </c>
      <c r="E734" s="15">
        <f>VLOOKUP(A734,'[1]תקציב 2012 נכון להיום'!$A$2:$E$1361,5,FALSE)</f>
        <v>512.83000000000004</v>
      </c>
      <c r="F734" s="15">
        <v>1700</v>
      </c>
      <c r="G734" s="15">
        <v>1089.1600000000001</v>
      </c>
      <c r="H734" s="15">
        <v>998.59</v>
      </c>
    </row>
    <row r="735" spans="1:8" x14ac:dyDescent="0.15">
      <c r="A735">
        <v>1939000980</v>
      </c>
      <c r="B735" t="s">
        <v>580</v>
      </c>
      <c r="C735" s="16" t="e">
        <f>VLOOKUP(A735,#REF!,3,FALSE)</f>
        <v>#REF!</v>
      </c>
      <c r="E735" s="15">
        <f>VLOOKUP(A735,'[1]תקציב 2012 נכון להיום'!$A$2:$E$1361,5,FALSE)</f>
        <v>3750</v>
      </c>
      <c r="F735" s="15">
        <v>8000</v>
      </c>
      <c r="G735" s="15">
        <v>11913</v>
      </c>
      <c r="H735" s="15">
        <v>6073.65</v>
      </c>
    </row>
    <row r="736" spans="1:8" x14ac:dyDescent="0.15">
      <c r="A736">
        <v>1939003731</v>
      </c>
      <c r="B736" t="s">
        <v>905</v>
      </c>
      <c r="C736" s="16" t="e">
        <f>VLOOKUP(A736,#REF!,3,FALSE)</f>
        <v>#REF!</v>
      </c>
      <c r="E736" s="15">
        <f>VLOOKUP(A736,'[1]תקציב 2012 נכון להיום'!$A$2:$E$1361,5,FALSE)</f>
        <v>2770.7</v>
      </c>
      <c r="F736" s="15">
        <v>7500</v>
      </c>
      <c r="G736" s="15">
        <v>4996.38</v>
      </c>
      <c r="H736" s="15">
        <v>7403.09</v>
      </c>
    </row>
    <row r="737" spans="1:8" x14ac:dyDescent="0.15">
      <c r="A737">
        <v>1939004731</v>
      </c>
      <c r="B737" t="s">
        <v>906</v>
      </c>
      <c r="C737" s="16" t="e">
        <f>VLOOKUP(A737,#REF!,3,FALSE)</f>
        <v>#REF!</v>
      </c>
      <c r="E737" s="15">
        <f>VLOOKUP(A737,'[1]תקציב 2012 נכון להיום'!$A$2:$E$1361,5,FALSE)</f>
        <v>37082.19</v>
      </c>
      <c r="F737" s="15">
        <v>60000</v>
      </c>
      <c r="G737" s="15">
        <v>80925.16</v>
      </c>
      <c r="H737" s="15">
        <v>21467.11</v>
      </c>
    </row>
    <row r="738" spans="1:8" x14ac:dyDescent="0.15">
      <c r="A738">
        <v>1939006731</v>
      </c>
      <c r="B738" t="s">
        <v>907</v>
      </c>
      <c r="C738" s="16" t="e">
        <f>VLOOKUP(A738,#REF!,3,FALSE)</f>
        <v>#REF!</v>
      </c>
      <c r="E738" s="15">
        <f>VLOOKUP(A738,'[1]תקציב 2012 נכון להיום'!$A$2:$E$1361,5,FALSE)</f>
        <v>1372</v>
      </c>
      <c r="F738" s="15">
        <v>3000</v>
      </c>
      <c r="G738" s="15">
        <v>3570</v>
      </c>
      <c r="H738" s="15">
        <v>1567</v>
      </c>
    </row>
    <row r="739" spans="1:8" x14ac:dyDescent="0.15">
      <c r="A739">
        <v>1939011731</v>
      </c>
      <c r="B739" t="s">
        <v>908</v>
      </c>
      <c r="C739" s="16" t="e">
        <f>VLOOKUP(A739,#REF!,3,FALSE)</f>
        <v>#REF!</v>
      </c>
      <c r="E739" s="15">
        <f>VLOOKUP(A739,'[1]תקציב 2012 נכון להיום'!$A$2:$E$1361,5,FALSE)</f>
        <v>5082</v>
      </c>
      <c r="F739" s="15">
        <v>2000</v>
      </c>
      <c r="G739" s="15">
        <v>909</v>
      </c>
      <c r="H739" s="15">
        <v>1627</v>
      </c>
    </row>
    <row r="740" spans="1:8" x14ac:dyDescent="0.15">
      <c r="A740">
        <v>1939012731</v>
      </c>
      <c r="B740" t="s">
        <v>909</v>
      </c>
      <c r="C740" s="16" t="e">
        <f>VLOOKUP(A740,#REF!,3,FALSE)</f>
        <v>#REF!</v>
      </c>
      <c r="E740" s="15">
        <f>VLOOKUP(A740,'[1]תקציב 2012 נכון להיום'!$A$2:$E$1361,5,FALSE)</f>
        <v>839</v>
      </c>
      <c r="F740" s="15">
        <v>1400</v>
      </c>
      <c r="G740" s="15">
        <v>804</v>
      </c>
      <c r="H740" s="15">
        <v>1182</v>
      </c>
    </row>
    <row r="741" spans="1:8" x14ac:dyDescent="0.15">
      <c r="A741">
        <v>1939013731</v>
      </c>
      <c r="B741" t="s">
        <v>910</v>
      </c>
      <c r="C741" s="16" t="e">
        <f>VLOOKUP(A741,#REF!,3,FALSE)</f>
        <v>#REF!</v>
      </c>
      <c r="E741" s="15">
        <f>VLOOKUP(A741,'[1]תקציב 2012 נכון להיום'!$A$2:$E$1361,5,FALSE)</f>
        <v>15385.57</v>
      </c>
      <c r="F741" s="15">
        <v>15000</v>
      </c>
      <c r="G741" s="15">
        <v>18424.86</v>
      </c>
      <c r="H741" s="15">
        <v>10280.36</v>
      </c>
    </row>
    <row r="742" spans="1:8" x14ac:dyDescent="0.15">
      <c r="A742">
        <v>1939018731</v>
      </c>
      <c r="B742" t="s">
        <v>911</v>
      </c>
      <c r="C742" s="16" t="e">
        <f>VLOOKUP(A742,#REF!,3,FALSE)</f>
        <v>#REF!</v>
      </c>
      <c r="E742" s="15">
        <f>VLOOKUP(A742,'[1]תקציב 2012 נכון להיום'!$A$2:$E$1361,5,FALSE)</f>
        <v>3235.01</v>
      </c>
      <c r="F742" s="15">
        <v>13000</v>
      </c>
      <c r="G742" s="15">
        <v>16560.79</v>
      </c>
      <c r="H742" s="15">
        <v>9720.3799999999992</v>
      </c>
    </row>
    <row r="743" spans="1:8" x14ac:dyDescent="0.15">
      <c r="A743">
        <v>1972000750</v>
      </c>
      <c r="B743" t="s">
        <v>912</v>
      </c>
      <c r="C743" s="16" t="e">
        <f>VLOOKUP(A743,#REF!,3,FALSE)</f>
        <v>#REF!</v>
      </c>
      <c r="E743" s="15">
        <f>VLOOKUP(A743,'[1]תקציב 2012 נכון להיום'!$A$2:$E$1361,5,FALSE)</f>
        <v>223733.5</v>
      </c>
      <c r="F743" s="15">
        <v>250000</v>
      </c>
      <c r="G743" s="15">
        <v>246507.17</v>
      </c>
      <c r="H743" s="15">
        <v>6902.82</v>
      </c>
    </row>
    <row r="744" spans="1:8" x14ac:dyDescent="0.15">
      <c r="A744">
        <v>1972000770</v>
      </c>
      <c r="B744" t="s">
        <v>740</v>
      </c>
      <c r="C744" s="16" t="e">
        <f>VLOOKUP(A744,#REF!,3,FALSE)</f>
        <v>#REF!</v>
      </c>
      <c r="E744" s="15">
        <f>VLOOKUP(A744,'[1]תקציב 2012 נכון להיום'!$A$2:$E$1361,5,FALSE)</f>
        <v>7497.74</v>
      </c>
      <c r="F744" s="15">
        <v>10000</v>
      </c>
      <c r="G744" s="15">
        <v>6793.83</v>
      </c>
      <c r="H744" s="15">
        <v>104274.06</v>
      </c>
    </row>
    <row r="745" spans="1:8" x14ac:dyDescent="0.15">
      <c r="A745">
        <v>1972000780</v>
      </c>
      <c r="B745" t="s">
        <v>913</v>
      </c>
      <c r="C745" s="16" t="e">
        <f>VLOOKUP(A745,#REF!,3,FALSE)</f>
        <v>#REF!</v>
      </c>
      <c r="E745" s="15">
        <f>VLOOKUP(A745,'[1]תקציב 2012 נכון להיום'!$A$2:$E$1361,5,FALSE)</f>
        <v>858.72</v>
      </c>
      <c r="F745" s="15">
        <v>0</v>
      </c>
      <c r="G745" s="15">
        <v>2954.33</v>
      </c>
      <c r="H745" s="15">
        <v>13670.92</v>
      </c>
    </row>
    <row r="746" spans="1:8" x14ac:dyDescent="0.15">
      <c r="A746">
        <v>1980000733</v>
      </c>
      <c r="B746" t="s">
        <v>914</v>
      </c>
      <c r="C746" s="16" t="e">
        <f>VLOOKUP(A746,#REF!,3,FALSE)</f>
        <v>#REF!</v>
      </c>
      <c r="E746" s="15">
        <f>VLOOKUP(A746,'[1]תקציב 2012 נכון להיום'!$A$2:$E$1361,5,FALSE)</f>
        <v>0</v>
      </c>
      <c r="F746" s="15">
        <v>150000</v>
      </c>
      <c r="G746" s="15">
        <v>0</v>
      </c>
      <c r="H746" s="15">
        <v>0</v>
      </c>
    </row>
    <row r="747" spans="1:8" x14ac:dyDescent="0.15">
      <c r="C747" s="16" t="e">
        <f>VLOOKUP(A747,#REF!,3,FALSE)</f>
        <v>#REF!</v>
      </c>
    </row>
    <row r="748" spans="1:8" x14ac:dyDescent="0.15">
      <c r="A748" t="s">
        <v>915</v>
      </c>
      <c r="B748" t="s">
        <v>279</v>
      </c>
      <c r="C748" s="16" t="e">
        <f>VLOOKUP(A748,#REF!,3,FALSE)</f>
        <v>#REF!</v>
      </c>
    </row>
    <row r="749" spans="1:8" x14ac:dyDescent="0.15">
      <c r="C749" s="16" t="e">
        <f>VLOOKUP(A749,#REF!,3,FALSE)</f>
        <v>#REF!</v>
      </c>
    </row>
    <row r="750" spans="1:8" x14ac:dyDescent="0.15">
      <c r="A750" t="s">
        <v>281</v>
      </c>
      <c r="B750" t="s">
        <v>916</v>
      </c>
      <c r="C750" s="16" t="e">
        <f>VLOOKUP(A750,#REF!,3,FALSE)</f>
        <v>#REF!</v>
      </c>
    </row>
    <row r="751" spans="1:8" x14ac:dyDescent="0.15">
      <c r="A751" t="s">
        <v>917</v>
      </c>
      <c r="B751" t="s">
        <v>918</v>
      </c>
      <c r="C751" s="16" t="e">
        <f>VLOOKUP(A751,#REF!,3,FALSE)</f>
        <v>#REF!</v>
      </c>
    </row>
    <row r="752" spans="1:8" x14ac:dyDescent="0.15">
      <c r="A752">
        <v>1812200110</v>
      </c>
      <c r="B752" t="s">
        <v>919</v>
      </c>
      <c r="C752" s="16" t="e">
        <f>VLOOKUP(A752,#REF!,3,FALSE)</f>
        <v>#REF!</v>
      </c>
      <c r="E752" s="15">
        <f>VLOOKUP(A752,'[1]תקציב 2012 נכון להיום'!$A$2:$E$1361,5,FALSE)</f>
        <v>115004.07</v>
      </c>
      <c r="F752" s="15">
        <v>176774</v>
      </c>
      <c r="G752" s="15">
        <v>42945.59</v>
      </c>
      <c r="H752" s="15">
        <v>15889.99</v>
      </c>
    </row>
    <row r="753" spans="1:8" x14ac:dyDescent="0.15">
      <c r="A753">
        <v>1812200210</v>
      </c>
      <c r="B753" t="s">
        <v>920</v>
      </c>
      <c r="C753" s="16" t="e">
        <f>VLOOKUP(A753,#REF!,3,FALSE)</f>
        <v>#REF!</v>
      </c>
      <c r="E753" s="15">
        <f>VLOOKUP(A753,'[1]תקציב 2012 נכון להיום'!$A$2:$E$1361,5,FALSE)</f>
        <v>60877.85</v>
      </c>
      <c r="F753" s="15">
        <v>230654</v>
      </c>
      <c r="G753" s="15">
        <v>79559.55</v>
      </c>
      <c r="H753" s="15">
        <v>49319.09</v>
      </c>
    </row>
    <row r="754" spans="1:8" x14ac:dyDescent="0.15">
      <c r="A754">
        <v>1812210110</v>
      </c>
      <c r="B754" t="s">
        <v>921</v>
      </c>
      <c r="C754" s="16" t="e">
        <f>VLOOKUP(A754,#REF!,3,FALSE)</f>
        <v>#REF!</v>
      </c>
      <c r="E754" s="15">
        <f>VLOOKUP(A754,'[1]תקציב 2012 נכון להיום'!$A$2:$E$1361,5,FALSE)</f>
        <v>4467642.3</v>
      </c>
      <c r="F754" s="15">
        <v>5488027</v>
      </c>
      <c r="G754" s="15">
        <v>5231864.3600000003</v>
      </c>
      <c r="H754" s="15">
        <v>5399610.6799999997</v>
      </c>
    </row>
    <row r="755" spans="1:8" x14ac:dyDescent="0.15">
      <c r="A755">
        <v>1812210210</v>
      </c>
      <c r="B755" t="s">
        <v>922</v>
      </c>
      <c r="C755" s="16" t="e">
        <f>VLOOKUP(A755,#REF!,3,FALSE)</f>
        <v>#REF!</v>
      </c>
      <c r="E755" s="15">
        <f>VLOOKUP(A755,'[1]תקציב 2012 נכון להיום'!$A$2:$E$1361,5,FALSE)</f>
        <v>1507631.36</v>
      </c>
      <c r="F755" s="15">
        <v>1573959</v>
      </c>
      <c r="G755" s="15">
        <v>1602122.51</v>
      </c>
      <c r="H755" s="15">
        <v>997560.64</v>
      </c>
    </row>
    <row r="756" spans="1:8" x14ac:dyDescent="0.15">
      <c r="A756">
        <v>1813204110</v>
      </c>
      <c r="B756" t="s">
        <v>923</v>
      </c>
      <c r="C756" s="16" t="e">
        <f>VLOOKUP(A756,#REF!,3,FALSE)</f>
        <v>#REF!</v>
      </c>
      <c r="E756" s="15">
        <f>VLOOKUP(A756,'[1]תקציב 2012 נכון להיום'!$A$2:$E$1361,5,FALSE)</f>
        <v>913405.87</v>
      </c>
      <c r="F756" s="15">
        <v>1155123</v>
      </c>
      <c r="G756" s="15">
        <v>1114403.6000000001</v>
      </c>
      <c r="H756" s="15">
        <v>1084515.06</v>
      </c>
    </row>
    <row r="757" spans="1:8" x14ac:dyDescent="0.15">
      <c r="A757">
        <v>1813204210</v>
      </c>
      <c r="B757" t="s">
        <v>919</v>
      </c>
      <c r="C757" s="16" t="e">
        <f>VLOOKUP(A757,#REF!,3,FALSE)</f>
        <v>#REF!</v>
      </c>
      <c r="E757" s="15">
        <f>VLOOKUP(A757,'[1]תקציב 2012 נכון להיום'!$A$2:$E$1361,5,FALSE)</f>
        <v>40586.22</v>
      </c>
      <c r="F757" s="15">
        <v>58550</v>
      </c>
      <c r="G757" s="15">
        <v>54780.65</v>
      </c>
      <c r="H757" s="15">
        <v>37548.86</v>
      </c>
    </row>
    <row r="758" spans="1:8" x14ac:dyDescent="0.15">
      <c r="A758">
        <v>1813205110</v>
      </c>
      <c r="B758" t="s">
        <v>924</v>
      </c>
      <c r="C758" s="16" t="e">
        <f>VLOOKUP(A758,#REF!,3,FALSE)</f>
        <v>#REF!</v>
      </c>
      <c r="E758" s="15">
        <f>VLOOKUP(A758,'[1]תקציב 2012 נכון להיום'!$A$2:$E$1361,5,FALSE)</f>
        <v>886005.1</v>
      </c>
      <c r="F758" s="15">
        <v>1159184</v>
      </c>
      <c r="G758" s="15">
        <v>1194103.69</v>
      </c>
      <c r="H758" s="15">
        <v>1055361.6399999999</v>
      </c>
    </row>
    <row r="759" spans="1:8" x14ac:dyDescent="0.15">
      <c r="A759">
        <v>1813205210</v>
      </c>
      <c r="B759" t="s">
        <v>925</v>
      </c>
      <c r="C759" s="16" t="e">
        <f>VLOOKUP(A759,#REF!,3,FALSE)</f>
        <v>#REF!</v>
      </c>
      <c r="E759" s="15">
        <f>VLOOKUP(A759,'[1]תקציב 2012 נכון להיום'!$A$2:$E$1361,5,FALSE)</f>
        <v>63588.9</v>
      </c>
      <c r="F759" s="15">
        <v>76576</v>
      </c>
      <c r="G759" s="15">
        <v>48810.9</v>
      </c>
      <c r="H759" s="15">
        <v>64648.83</v>
      </c>
    </row>
    <row r="760" spans="1:8" x14ac:dyDescent="0.15">
      <c r="A760">
        <v>1813211110</v>
      </c>
      <c r="B760" t="s">
        <v>926</v>
      </c>
      <c r="C760" s="16" t="e">
        <f>VLOOKUP(A760,#REF!,3,FALSE)</f>
        <v>#REF!</v>
      </c>
      <c r="E760" s="15">
        <f>VLOOKUP(A760,'[1]תקציב 2012 נכון להיום'!$A$2:$E$1361,5,FALSE)</f>
        <v>236417.08</v>
      </c>
      <c r="F760" s="15">
        <v>322669</v>
      </c>
      <c r="G760" s="15">
        <v>334235.59000000003</v>
      </c>
      <c r="H760" s="15">
        <v>307414.03999999998</v>
      </c>
    </row>
    <row r="761" spans="1:8" x14ac:dyDescent="0.15">
      <c r="A761">
        <v>1813213110</v>
      </c>
      <c r="B761" t="s">
        <v>927</v>
      </c>
      <c r="C761" s="16" t="e">
        <f>VLOOKUP(A761,#REF!,3,FALSE)</f>
        <v>#REF!</v>
      </c>
      <c r="E761" s="15">
        <f>VLOOKUP(A761,'[1]תקציב 2012 נכון להיום'!$A$2:$E$1361,5,FALSE)</f>
        <v>863528.15</v>
      </c>
      <c r="F761" s="15">
        <v>1389703</v>
      </c>
      <c r="G761" s="15">
        <v>1118427.3999999999</v>
      </c>
      <c r="H761" s="15">
        <v>1142205.55</v>
      </c>
    </row>
    <row r="762" spans="1:8" x14ac:dyDescent="0.15">
      <c r="A762">
        <v>1813213210</v>
      </c>
      <c r="B762" t="s">
        <v>928</v>
      </c>
      <c r="C762" s="16" t="e">
        <f>VLOOKUP(A762,#REF!,3,FALSE)</f>
        <v>#REF!</v>
      </c>
      <c r="E762" s="15">
        <f>VLOOKUP(A762,'[1]תקציב 2012 נכון להיום'!$A$2:$E$1361,5,FALSE)</f>
        <v>623583.71</v>
      </c>
      <c r="F762" s="15">
        <v>926890</v>
      </c>
      <c r="G762" s="15">
        <v>677784.95</v>
      </c>
      <c r="H762" s="15">
        <v>485899.92</v>
      </c>
    </row>
    <row r="763" spans="1:8" x14ac:dyDescent="0.15">
      <c r="A763">
        <v>1813304110</v>
      </c>
      <c r="B763" t="s">
        <v>919</v>
      </c>
      <c r="C763" s="16" t="e">
        <f>VLOOKUP(A763,#REF!,3,FALSE)</f>
        <v>#REF!</v>
      </c>
      <c r="E763" s="15">
        <f>VLOOKUP(A763,'[1]תקציב 2012 נכון להיום'!$A$2:$E$1361,5,FALSE)</f>
        <v>132405.59</v>
      </c>
      <c r="F763" s="15">
        <v>175173</v>
      </c>
      <c r="G763" s="15">
        <v>188623.01</v>
      </c>
      <c r="H763" s="15">
        <v>170498.67</v>
      </c>
    </row>
    <row r="764" spans="1:8" x14ac:dyDescent="0.15">
      <c r="A764">
        <v>1813305110</v>
      </c>
      <c r="B764" t="s">
        <v>929</v>
      </c>
      <c r="C764" s="16" t="e">
        <f>VLOOKUP(A764,#REF!,3,FALSE)</f>
        <v>#REF!</v>
      </c>
      <c r="E764" s="15">
        <f>VLOOKUP(A764,'[1]תקציב 2012 נכון להיום'!$A$2:$E$1361,5,FALSE)</f>
        <v>147917</v>
      </c>
      <c r="F764" s="15">
        <v>193025</v>
      </c>
      <c r="G764" s="15">
        <v>149373.49</v>
      </c>
      <c r="H764" s="15">
        <v>195689.21</v>
      </c>
    </row>
    <row r="765" spans="1:8" x14ac:dyDescent="0.15">
      <c r="A765">
        <v>1813313110</v>
      </c>
      <c r="B765" t="s">
        <v>930</v>
      </c>
      <c r="C765" s="16" t="e">
        <f>VLOOKUP(A765,#REF!,3,FALSE)</f>
        <v>#REF!</v>
      </c>
      <c r="E765" s="15">
        <f>VLOOKUP(A765,'[1]תקציב 2012 נכון להיום'!$A$2:$E$1361,5,FALSE)</f>
        <v>1551646.2</v>
      </c>
      <c r="F765" s="15">
        <v>1948039</v>
      </c>
      <c r="G765" s="15">
        <v>1870414.61</v>
      </c>
      <c r="H765" s="15">
        <v>1823168.92</v>
      </c>
    </row>
    <row r="766" spans="1:8" x14ac:dyDescent="0.15">
      <c r="A766">
        <v>1813313210</v>
      </c>
      <c r="B766" t="s">
        <v>931</v>
      </c>
      <c r="C766" s="16" t="e">
        <f>VLOOKUP(A766,#REF!,3,FALSE)</f>
        <v>#REF!</v>
      </c>
      <c r="E766" s="15">
        <f>VLOOKUP(A766,'[1]תקציב 2012 נכון להיום'!$A$2:$E$1361,5,FALSE)</f>
        <v>326576.90000000002</v>
      </c>
      <c r="F766" s="15">
        <v>336301</v>
      </c>
      <c r="G766" s="15">
        <v>404825.33</v>
      </c>
      <c r="H766" s="15">
        <v>262847.28000000003</v>
      </c>
    </row>
    <row r="767" spans="1:8" x14ac:dyDescent="0.15">
      <c r="A767">
        <v>1813705110</v>
      </c>
      <c r="B767" t="s">
        <v>932</v>
      </c>
      <c r="C767" s="16" t="e">
        <f>VLOOKUP(A767,#REF!,3,FALSE)</f>
        <v>#REF!</v>
      </c>
      <c r="E767" s="15">
        <f>VLOOKUP(A767,'[1]תקציב 2012 נכון להיום'!$A$2:$E$1361,5,FALSE)</f>
        <v>90950.77</v>
      </c>
      <c r="F767" s="15">
        <v>113375</v>
      </c>
      <c r="G767" s="15">
        <v>111615.97</v>
      </c>
      <c r="H767" s="15">
        <v>107205.36</v>
      </c>
    </row>
    <row r="768" spans="1:8" x14ac:dyDescent="0.15">
      <c r="A768">
        <v>1815788110</v>
      </c>
      <c r="B768" t="s">
        <v>933</v>
      </c>
      <c r="C768" s="16" t="e">
        <f>VLOOKUP(A768,#REF!,3,FALSE)</f>
        <v>#REF!</v>
      </c>
      <c r="E768" s="15">
        <f>VLOOKUP(A768,'[1]תקציב 2012 נכון להיום'!$A$2:$E$1361,5,FALSE)</f>
        <v>224927.52</v>
      </c>
      <c r="F768" s="15">
        <v>413676</v>
      </c>
      <c r="G768" s="15">
        <v>398440.76</v>
      </c>
      <c r="H768" s="15">
        <v>383548.15</v>
      </c>
    </row>
    <row r="769" spans="1:8" x14ac:dyDescent="0.15">
      <c r="A769">
        <v>1817100110</v>
      </c>
      <c r="B769" t="s">
        <v>934</v>
      </c>
      <c r="C769" s="16" t="e">
        <f>VLOOKUP(A769,#REF!,3,FALSE)</f>
        <v>#REF!</v>
      </c>
      <c r="E769" s="15">
        <f>VLOOKUP(A769,'[1]תקציב 2012 נכון להיום'!$A$2:$E$1361,5,FALSE)</f>
        <v>183973.71</v>
      </c>
      <c r="F769" s="15">
        <v>251664</v>
      </c>
      <c r="G769" s="15">
        <v>86662.68</v>
      </c>
      <c r="H769" s="15">
        <v>77366.48</v>
      </c>
    </row>
    <row r="770" spans="1:8" x14ac:dyDescent="0.15">
      <c r="A770">
        <v>1817200110</v>
      </c>
      <c r="B770" t="s">
        <v>935</v>
      </c>
      <c r="C770" s="16" t="e">
        <f>VLOOKUP(A770,#REF!,3,FALSE)</f>
        <v>#REF!</v>
      </c>
      <c r="E770" s="15">
        <f>VLOOKUP(A770,'[1]תקציב 2012 נכון להיום'!$A$2:$E$1361,5,FALSE)</f>
        <v>137253.31</v>
      </c>
      <c r="F770" s="15">
        <v>152517</v>
      </c>
      <c r="G770" s="15">
        <v>159136.79999999999</v>
      </c>
      <c r="H770" s="15">
        <v>193690.83</v>
      </c>
    </row>
    <row r="771" spans="1:8" x14ac:dyDescent="0.15">
      <c r="A771">
        <v>1817300110</v>
      </c>
      <c r="B771" t="s">
        <v>523</v>
      </c>
      <c r="C771" s="16" t="e">
        <f>VLOOKUP(A771,#REF!,3,FALSE)</f>
        <v>#REF!</v>
      </c>
      <c r="E771" s="15">
        <f>VLOOKUP(A771,'[1]תקציב 2012 נכון להיום'!$A$2:$E$1361,5,FALSE)</f>
        <v>1156018.3999999999</v>
      </c>
      <c r="F771" s="15">
        <v>1552361</v>
      </c>
      <c r="G771" s="15">
        <v>1490057.66</v>
      </c>
      <c r="H771" s="15">
        <v>1300742.52</v>
      </c>
    </row>
    <row r="772" spans="1:8" x14ac:dyDescent="0.15">
      <c r="A772">
        <v>1817304110</v>
      </c>
      <c r="B772" t="s">
        <v>936</v>
      </c>
      <c r="C772" s="16" t="e">
        <f>VLOOKUP(A772,#REF!,3,FALSE)</f>
        <v>#REF!</v>
      </c>
      <c r="E772" s="15">
        <f>VLOOKUP(A772,'[1]תקציב 2012 נכון להיום'!$A$2:$E$1361,5,FALSE)</f>
        <v>124408.98</v>
      </c>
      <c r="F772" s="15">
        <v>156713</v>
      </c>
      <c r="G772" s="15">
        <v>154002.81</v>
      </c>
      <c r="H772" s="15">
        <v>144662.43</v>
      </c>
    </row>
    <row r="773" spans="1:8" x14ac:dyDescent="0.15">
      <c r="A773">
        <v>1817311110</v>
      </c>
      <c r="B773" t="s">
        <v>937</v>
      </c>
      <c r="C773" s="16" t="e">
        <f>VLOOKUP(A773,#REF!,3,FALSE)</f>
        <v>#REF!</v>
      </c>
      <c r="E773" s="15">
        <f>VLOOKUP(A773,'[1]תקציב 2012 נכון להיום'!$A$2:$E$1361,5,FALSE)</f>
        <v>50566.57</v>
      </c>
      <c r="F773" s="15">
        <v>64111</v>
      </c>
      <c r="G773" s="15">
        <v>62237.49</v>
      </c>
      <c r="H773" s="15">
        <v>38753.360000000001</v>
      </c>
    </row>
    <row r="774" spans="1:8" x14ac:dyDescent="0.15">
      <c r="A774">
        <v>1817600110</v>
      </c>
      <c r="B774" t="s">
        <v>523</v>
      </c>
      <c r="C774" s="16" t="e">
        <f>VLOOKUP(A774,#REF!,3,FALSE)</f>
        <v>#REF!</v>
      </c>
      <c r="E774" s="15">
        <f>VLOOKUP(A774,'[1]תקציב 2012 נכון להיום'!$A$2:$E$1361,5,FALSE)</f>
        <v>249927.31</v>
      </c>
      <c r="F774" s="15">
        <v>324803</v>
      </c>
      <c r="G774" s="15">
        <v>336594.97</v>
      </c>
      <c r="H774" s="15">
        <v>318770.96999999997</v>
      </c>
    </row>
    <row r="775" spans="1:8" x14ac:dyDescent="0.15">
      <c r="A775">
        <v>1817622210</v>
      </c>
      <c r="B775" t="s">
        <v>938</v>
      </c>
      <c r="C775" s="16" t="e">
        <f>VLOOKUP(A775,#REF!,3,FALSE)</f>
        <v>#REF!</v>
      </c>
      <c r="E775" s="15">
        <f>VLOOKUP(A775,'[1]תקציב 2012 נכון להיום'!$A$2:$E$1361,5,FALSE)</f>
        <v>260787.48</v>
      </c>
      <c r="F775" s="15">
        <v>208960</v>
      </c>
      <c r="G775" s="15">
        <v>195992.81</v>
      </c>
      <c r="H775" s="15">
        <v>117230.75</v>
      </c>
    </row>
    <row r="776" spans="1:8" x14ac:dyDescent="0.15">
      <c r="A776">
        <v>1817700110</v>
      </c>
      <c r="B776" t="s">
        <v>939</v>
      </c>
      <c r="C776" s="16" t="e">
        <f>VLOOKUP(A776,#REF!,3,FALSE)</f>
        <v>#REF!</v>
      </c>
      <c r="E776" s="15">
        <f>VLOOKUP(A776,'[1]תקציב 2012 נכון להיום'!$A$2:$E$1361,5,FALSE)</f>
        <v>482213.75</v>
      </c>
      <c r="F776" s="15">
        <v>647837</v>
      </c>
      <c r="G776" s="15">
        <v>613741.1</v>
      </c>
      <c r="H776" s="15">
        <v>589287.86</v>
      </c>
    </row>
    <row r="777" spans="1:8" x14ac:dyDescent="0.15">
      <c r="A777">
        <v>1817701110</v>
      </c>
      <c r="B777" t="s">
        <v>940</v>
      </c>
      <c r="C777" s="16" t="e">
        <f>VLOOKUP(A777,#REF!,3,FALSE)</f>
        <v>#REF!</v>
      </c>
      <c r="E777" s="15">
        <f>VLOOKUP(A777,'[1]תקציב 2012 נכון להיום'!$A$2:$E$1361,5,FALSE)</f>
        <v>100107.19</v>
      </c>
      <c r="F777" s="15">
        <v>116894</v>
      </c>
      <c r="G777" s="15">
        <v>118203.98</v>
      </c>
      <c r="H777" s="15">
        <v>104275.74</v>
      </c>
    </row>
    <row r="778" spans="1:8" x14ac:dyDescent="0.15">
      <c r="A778">
        <v>1817710110</v>
      </c>
      <c r="B778" t="s">
        <v>941</v>
      </c>
      <c r="C778" s="16" t="e">
        <f>VLOOKUP(A778,#REF!,3,FALSE)</f>
        <v>#REF!</v>
      </c>
      <c r="E778" s="15">
        <f>VLOOKUP(A778,'[1]תקציב 2012 נכון להיום'!$A$2:$E$1361,5,FALSE)</f>
        <v>11851.08</v>
      </c>
      <c r="F778" s="15">
        <v>30000</v>
      </c>
      <c r="G778" s="15">
        <v>0</v>
      </c>
      <c r="H778" s="15">
        <v>0</v>
      </c>
    </row>
    <row r="779" spans="1:8" x14ac:dyDescent="0.15">
      <c r="A779">
        <v>1817711110</v>
      </c>
      <c r="B779" t="s">
        <v>942</v>
      </c>
      <c r="C779" s="16" t="e">
        <f>VLOOKUP(A779,#REF!,3,FALSE)</f>
        <v>#REF!</v>
      </c>
      <c r="E779" s="15">
        <f>VLOOKUP(A779,'[1]תקציב 2012 נכון להיום'!$A$2:$E$1361,5,FALSE)</f>
        <v>48632.639999999999</v>
      </c>
      <c r="F779" s="15">
        <v>57615</v>
      </c>
      <c r="G779" s="15">
        <v>44074.83</v>
      </c>
      <c r="H779" s="15">
        <v>56326.07</v>
      </c>
    </row>
    <row r="780" spans="1:8" x14ac:dyDescent="0.15">
      <c r="A780">
        <v>1817727110</v>
      </c>
      <c r="B780" t="s">
        <v>943</v>
      </c>
      <c r="C780" s="16" t="e">
        <f>VLOOKUP(A780,#REF!,3,FALSE)</f>
        <v>#REF!</v>
      </c>
      <c r="E780" s="15">
        <f>VLOOKUP(A780,'[1]תקציב 2012 נכון להיום'!$A$2:$E$1361,5,FALSE)</f>
        <v>70371.28</v>
      </c>
      <c r="F780" s="15">
        <v>86761</v>
      </c>
      <c r="G780" s="15">
        <v>88838.58</v>
      </c>
      <c r="H780" s="15">
        <v>54177.63</v>
      </c>
    </row>
    <row r="781" spans="1:8" x14ac:dyDescent="0.15">
      <c r="A781">
        <v>1817728110</v>
      </c>
      <c r="B781" t="s">
        <v>944</v>
      </c>
      <c r="C781" s="16" t="e">
        <f>VLOOKUP(A781,#REF!,3,FALSE)</f>
        <v>#REF!</v>
      </c>
      <c r="E781" s="15">
        <f>VLOOKUP(A781,'[1]תקציב 2012 נכון להיום'!$A$2:$E$1361,5,FALSE)</f>
        <v>132950.37</v>
      </c>
      <c r="F781" s="15">
        <v>169918</v>
      </c>
      <c r="G781" s="15">
        <v>168638.24</v>
      </c>
      <c r="H781" s="15">
        <v>161536.44</v>
      </c>
    </row>
    <row r="782" spans="1:8" x14ac:dyDescent="0.15">
      <c r="A782">
        <v>1817800210</v>
      </c>
      <c r="B782" t="s">
        <v>945</v>
      </c>
      <c r="C782" s="16" t="e">
        <f>VLOOKUP(A782,#REF!,3,FALSE)</f>
        <v>#REF!</v>
      </c>
      <c r="E782" s="15">
        <f>VLOOKUP(A782,'[1]תקציב 2012 נכון להיום'!$A$2:$E$1361,5,FALSE)</f>
        <v>1168617.23</v>
      </c>
      <c r="F782" s="15">
        <v>1356473</v>
      </c>
      <c r="G782" s="15">
        <v>1312433.06</v>
      </c>
      <c r="H782" s="15">
        <v>912955.22</v>
      </c>
    </row>
    <row r="783" spans="1:8" x14ac:dyDescent="0.15">
      <c r="A783">
        <v>1817900110</v>
      </c>
      <c r="B783" t="s">
        <v>523</v>
      </c>
      <c r="C783" s="16" t="e">
        <f>VLOOKUP(A783,#REF!,3,FALSE)</f>
        <v>#REF!</v>
      </c>
      <c r="E783" s="15">
        <f>VLOOKUP(A783,'[1]תקציב 2012 נכון להיום'!$A$2:$E$1361,5,FALSE)</f>
        <v>102031.77</v>
      </c>
      <c r="F783" s="15">
        <v>112902</v>
      </c>
      <c r="G783" s="15">
        <v>135119.70000000001</v>
      </c>
      <c r="H783" s="15">
        <v>81753.47</v>
      </c>
    </row>
    <row r="784" spans="1:8" x14ac:dyDescent="0.15">
      <c r="A784">
        <v>1817904110</v>
      </c>
      <c r="B784" t="s">
        <v>946</v>
      </c>
      <c r="C784" s="16" t="e">
        <f>VLOOKUP(A784,#REF!,3,FALSE)</f>
        <v>#REF!</v>
      </c>
      <c r="E784" s="15">
        <f>VLOOKUP(A784,'[1]תקציב 2012 נכון להיום'!$A$2:$E$1361,5,FALSE)</f>
        <v>71655.3</v>
      </c>
      <c r="F784" s="15">
        <v>87518</v>
      </c>
      <c r="G784" s="15">
        <v>85540.3</v>
      </c>
      <c r="H784" s="15">
        <v>83256.37</v>
      </c>
    </row>
    <row r="785" spans="1:8" x14ac:dyDescent="0.15">
      <c r="A785">
        <v>1817950210</v>
      </c>
      <c r="B785" t="s">
        <v>947</v>
      </c>
      <c r="C785" s="16" t="e">
        <f>VLOOKUP(A785,#REF!,3,FALSE)</f>
        <v>#REF!</v>
      </c>
      <c r="E785" s="15">
        <f>VLOOKUP(A785,'[1]תקציב 2012 נכון להיום'!$A$2:$E$1361,5,FALSE)</f>
        <v>710226.21</v>
      </c>
      <c r="F785" s="15">
        <v>1170664</v>
      </c>
      <c r="G785" s="15">
        <v>1009688.37</v>
      </c>
      <c r="H785" s="15">
        <v>868719.83</v>
      </c>
    </row>
    <row r="786" spans="1:8" x14ac:dyDescent="0.15">
      <c r="A786">
        <v>1817951110</v>
      </c>
      <c r="B786" t="s">
        <v>948</v>
      </c>
      <c r="C786" s="16" t="e">
        <f>VLOOKUP(A786,#REF!,3,FALSE)</f>
        <v>#REF!</v>
      </c>
      <c r="E786" s="15">
        <f>VLOOKUP(A786,'[1]תקציב 2012 נכון להיום'!$A$2:$E$1361,5,FALSE)</f>
        <v>43322.55</v>
      </c>
      <c r="F786" s="15">
        <v>135000</v>
      </c>
      <c r="G786" s="15">
        <v>0</v>
      </c>
      <c r="H786" s="15">
        <v>0</v>
      </c>
    </row>
    <row r="787" spans="1:8" x14ac:dyDescent="0.15">
      <c r="A787">
        <v>1817960110</v>
      </c>
      <c r="B787" t="s">
        <v>949</v>
      </c>
      <c r="C787" s="16" t="e">
        <f>VLOOKUP(A787,#REF!,3,FALSE)</f>
        <v>#REF!</v>
      </c>
      <c r="E787" s="15">
        <f>VLOOKUP(A787,'[1]תקציב 2012 נכון להיום'!$A$2:$E$1361,5,FALSE)</f>
        <v>507548.65</v>
      </c>
      <c r="F787" s="15">
        <v>735800</v>
      </c>
      <c r="G787" s="15">
        <v>751453.98</v>
      </c>
      <c r="H787" s="15">
        <v>730590.17</v>
      </c>
    </row>
    <row r="788" spans="1:8" x14ac:dyDescent="0.15">
      <c r="A788">
        <v>1817961110</v>
      </c>
      <c r="B788" t="s">
        <v>950</v>
      </c>
      <c r="C788" s="16" t="e">
        <f>VLOOKUP(A788,#REF!,3,FALSE)</f>
        <v>#REF!</v>
      </c>
      <c r="E788" s="15">
        <f>VLOOKUP(A788,'[1]תקציב 2012 נכון להיום'!$A$2:$E$1361,5,FALSE)</f>
        <v>46644.18</v>
      </c>
      <c r="F788" s="15">
        <v>57426</v>
      </c>
      <c r="G788" s="15">
        <v>73944.89</v>
      </c>
      <c r="H788" s="15">
        <v>52522.87</v>
      </c>
    </row>
    <row r="789" spans="1:8" x14ac:dyDescent="0.15">
      <c r="A789">
        <v>1817962110</v>
      </c>
      <c r="B789" t="s">
        <v>951</v>
      </c>
      <c r="C789" s="16" t="e">
        <f>VLOOKUP(A789,#REF!,3,FALSE)</f>
        <v>#REF!</v>
      </c>
      <c r="E789" s="15">
        <f>VLOOKUP(A789,'[1]תקציב 2012 נכון להיום'!$A$2:$E$1361,5,FALSE)</f>
        <v>150148.91</v>
      </c>
      <c r="F789" s="15">
        <v>201130</v>
      </c>
      <c r="G789" s="15">
        <v>165445.79</v>
      </c>
      <c r="H789" s="15">
        <v>110151.98</v>
      </c>
    </row>
    <row r="790" spans="1:8" x14ac:dyDescent="0.15">
      <c r="A790">
        <v>1819951210</v>
      </c>
      <c r="B790" t="s">
        <v>952</v>
      </c>
      <c r="C790" s="16" t="e">
        <f>VLOOKUP(A790,#REF!,3,FALSE)</f>
        <v>#REF!</v>
      </c>
      <c r="E790" s="15">
        <f>VLOOKUP(A790,'[1]תקציב 2012 נכון להיום'!$A$2:$E$1361,5,FALSE)</f>
        <v>1153.8800000000001</v>
      </c>
      <c r="F790" s="15">
        <v>25000</v>
      </c>
      <c r="G790" s="15">
        <v>40229.629999999997</v>
      </c>
      <c r="H790" s="15">
        <v>51817.32</v>
      </c>
    </row>
    <row r="791" spans="1:8" x14ac:dyDescent="0.15">
      <c r="A791">
        <v>1819999110</v>
      </c>
      <c r="B791" t="s">
        <v>919</v>
      </c>
      <c r="C791" s="16" t="e">
        <f>VLOOKUP(A791,#REF!,3,FALSE)</f>
        <v>#REF!</v>
      </c>
      <c r="E791" s="15">
        <f>VLOOKUP(A791,'[1]תקציב 2012 נכון להיום'!$A$2:$E$1361,5,FALSE)</f>
        <v>110196.33</v>
      </c>
      <c r="F791" s="15">
        <v>81600</v>
      </c>
      <c r="G791" s="15">
        <v>100315.8</v>
      </c>
      <c r="H791" s="15">
        <v>26190.44</v>
      </c>
    </row>
    <row r="792" spans="1:8" x14ac:dyDescent="0.15">
      <c r="A792">
        <v>1819999210</v>
      </c>
      <c r="B792" t="s">
        <v>953</v>
      </c>
      <c r="C792" s="16" t="e">
        <f>VLOOKUP(A792,#REF!,3,FALSE)</f>
        <v>#REF!</v>
      </c>
      <c r="E792" s="15">
        <f>VLOOKUP(A792,'[1]תקציב 2012 נכון להיום'!$A$2:$E$1361,5,FALSE)</f>
        <v>213249.31</v>
      </c>
      <c r="F792" s="15">
        <v>458120</v>
      </c>
      <c r="G792" s="15">
        <v>233987.1</v>
      </c>
      <c r="H792" s="15">
        <v>71025.75</v>
      </c>
    </row>
    <row r="793" spans="1:8" x14ac:dyDescent="0.15">
      <c r="C793" s="16" t="e">
        <f>VLOOKUP(A793,#REF!,3,FALSE)</f>
        <v>#REF!</v>
      </c>
    </row>
    <row r="794" spans="1:8" x14ac:dyDescent="0.15">
      <c r="A794" t="s">
        <v>954</v>
      </c>
      <c r="B794" t="s">
        <v>955</v>
      </c>
      <c r="C794" s="16" t="e">
        <f>VLOOKUP(A794,#REF!,3,FALSE)</f>
        <v>#REF!</v>
      </c>
    </row>
    <row r="795" spans="1:8" x14ac:dyDescent="0.15">
      <c r="A795">
        <v>1812200430</v>
      </c>
      <c r="B795" t="s">
        <v>956</v>
      </c>
      <c r="C795" s="16" t="e">
        <f>VLOOKUP(A795,#REF!,3,FALSE)</f>
        <v>#REF!</v>
      </c>
      <c r="E795" s="15">
        <f>VLOOKUP(A795,'[1]תקציב 2012 נכון להיום'!$A$2:$E$1361,5,FALSE)</f>
        <v>226649.41</v>
      </c>
      <c r="F795" s="15">
        <v>416888</v>
      </c>
      <c r="G795" s="15">
        <v>418812.3</v>
      </c>
      <c r="H795" s="15">
        <v>384342.63</v>
      </c>
    </row>
    <row r="796" spans="1:8" x14ac:dyDescent="0.15">
      <c r="A796">
        <v>1812200540</v>
      </c>
      <c r="B796" t="s">
        <v>957</v>
      </c>
      <c r="C796" s="16" t="e">
        <f>VLOOKUP(A796,#REF!,3,FALSE)</f>
        <v>#REF!</v>
      </c>
      <c r="E796" s="15">
        <f>VLOOKUP(A796,'[1]תקציב 2012 נכון להיום'!$A$2:$E$1361,5,FALSE)</f>
        <v>15557.39</v>
      </c>
      <c r="F796" s="15">
        <v>36000</v>
      </c>
      <c r="G796" s="15">
        <v>26721.67</v>
      </c>
      <c r="H796" s="15">
        <v>28003.22</v>
      </c>
    </row>
    <row r="797" spans="1:8" x14ac:dyDescent="0.15">
      <c r="A797">
        <v>1812200550</v>
      </c>
      <c r="B797" t="s">
        <v>822</v>
      </c>
      <c r="C797" s="16" t="e">
        <f>VLOOKUP(A797,#REF!,3,FALSE)</f>
        <v>#REF!</v>
      </c>
      <c r="E797" s="15">
        <f>VLOOKUP(A797,'[1]תקציב 2012 נכון להיום'!$A$2:$E$1361,5,FALSE)</f>
        <v>1508</v>
      </c>
      <c r="F797" s="15">
        <v>6000</v>
      </c>
      <c r="G797" s="15">
        <v>4326</v>
      </c>
      <c r="H797" s="15">
        <v>2320</v>
      </c>
    </row>
    <row r="798" spans="1:8" x14ac:dyDescent="0.15">
      <c r="A798">
        <v>1812200720</v>
      </c>
      <c r="B798" t="s">
        <v>958</v>
      </c>
      <c r="C798" s="16" t="e">
        <f>VLOOKUP(A798,#REF!,3,FALSE)</f>
        <v>#REF!</v>
      </c>
      <c r="E798" s="15">
        <f>VLOOKUP(A798,'[1]תקציב 2012 נכון להיום'!$A$2:$E$1361,5,FALSE)</f>
        <v>85956.88</v>
      </c>
      <c r="F798" s="15">
        <v>100000</v>
      </c>
      <c r="G798" s="15">
        <v>85837.21</v>
      </c>
      <c r="H798" s="15">
        <v>88145.7</v>
      </c>
    </row>
    <row r="799" spans="1:8" x14ac:dyDescent="0.15">
      <c r="A799">
        <v>1812200721</v>
      </c>
      <c r="B799" t="s">
        <v>959</v>
      </c>
      <c r="C799" s="16" t="e">
        <f>VLOOKUP(A799,#REF!,3,FALSE)</f>
        <v>#REF!</v>
      </c>
      <c r="E799" s="15">
        <f>VLOOKUP(A799,'[1]תקציב 2012 נכון להיום'!$A$2:$E$1361,5,FALSE)</f>
        <v>34910</v>
      </c>
      <c r="F799" s="15">
        <v>35000</v>
      </c>
      <c r="G799" s="15">
        <v>34998</v>
      </c>
      <c r="H799" s="15">
        <v>41093.440000000002</v>
      </c>
    </row>
    <row r="800" spans="1:8" x14ac:dyDescent="0.15">
      <c r="A800">
        <v>1812200750</v>
      </c>
      <c r="B800" t="s">
        <v>956</v>
      </c>
      <c r="C800" s="16" t="e">
        <f>VLOOKUP(A800,#REF!,3,FALSE)</f>
        <v>#REF!</v>
      </c>
      <c r="E800" s="15">
        <f>VLOOKUP(A800,'[1]תקציב 2012 נכון להיום'!$A$2:$E$1361,5,FALSE)</f>
        <v>105941.64</v>
      </c>
      <c r="F800" s="15">
        <v>100000</v>
      </c>
      <c r="G800" s="15">
        <v>65166.2</v>
      </c>
      <c r="H800" s="15">
        <v>58221.95</v>
      </c>
    </row>
    <row r="801" spans="1:8" x14ac:dyDescent="0.15">
      <c r="A801">
        <v>1812200780</v>
      </c>
      <c r="B801" t="s">
        <v>580</v>
      </c>
      <c r="C801" s="16" t="e">
        <f>VLOOKUP(A801,#REF!,3,FALSE)</f>
        <v>#REF!</v>
      </c>
      <c r="E801" s="15">
        <f>VLOOKUP(A801,'[1]תקציב 2012 נכון להיום'!$A$2:$E$1361,5,FALSE)</f>
        <v>247002</v>
      </c>
      <c r="F801" s="15">
        <v>257000</v>
      </c>
      <c r="G801" s="15">
        <v>151715.69</v>
      </c>
      <c r="H801" s="15">
        <v>10139.799999999999</v>
      </c>
    </row>
    <row r="802" spans="1:8" x14ac:dyDescent="0.15">
      <c r="A802">
        <v>1812200811</v>
      </c>
      <c r="B802" t="s">
        <v>960</v>
      </c>
      <c r="C802" s="16" t="e">
        <f>VLOOKUP(A802,#REF!,3,FALSE)</f>
        <v>#REF!</v>
      </c>
      <c r="E802" s="15">
        <f>VLOOKUP(A802,'[1]תקציב 2012 נכון להיום'!$A$2:$E$1361,5,FALSE)</f>
        <v>325000</v>
      </c>
      <c r="F802" s="15">
        <v>325000</v>
      </c>
      <c r="G802" s="15">
        <v>325000</v>
      </c>
      <c r="H802" s="15">
        <v>324999.96000000002</v>
      </c>
    </row>
    <row r="803" spans="1:8" x14ac:dyDescent="0.15">
      <c r="A803">
        <v>1812200930</v>
      </c>
      <c r="B803" t="s">
        <v>961</v>
      </c>
      <c r="C803" s="16" t="e">
        <f>VLOOKUP(A803,#REF!,3,FALSE)</f>
        <v>#REF!</v>
      </c>
      <c r="E803" s="15">
        <f>VLOOKUP(A803,'[1]תקציב 2012 נכון להיום'!$A$2:$E$1361,5,FALSE)</f>
        <v>10000</v>
      </c>
      <c r="F803" s="15">
        <v>10000</v>
      </c>
      <c r="G803" s="15">
        <v>0</v>
      </c>
      <c r="H803" s="15">
        <v>16000</v>
      </c>
    </row>
    <row r="804" spans="1:8" x14ac:dyDescent="0.15">
      <c r="A804">
        <v>1812201560</v>
      </c>
      <c r="B804" t="s">
        <v>664</v>
      </c>
      <c r="C804" s="16" t="e">
        <f>VLOOKUP(A804,#REF!,3,FALSE)</f>
        <v>#REF!</v>
      </c>
      <c r="E804" s="15">
        <f>VLOOKUP(A804,'[1]תקציב 2012 נכון להיום'!$A$2:$E$1361,5,FALSE)</f>
        <v>1027.8599999999999</v>
      </c>
      <c r="F804" s="15">
        <v>3000</v>
      </c>
      <c r="G804" s="15">
        <v>0</v>
      </c>
      <c r="H804" s="15">
        <v>0</v>
      </c>
    </row>
    <row r="805" spans="1:8" x14ac:dyDescent="0.15">
      <c r="A805">
        <v>1812201780</v>
      </c>
      <c r="B805" t="s">
        <v>962</v>
      </c>
      <c r="C805" s="16" t="e">
        <f>VLOOKUP(A805,#REF!,3,FALSE)</f>
        <v>#REF!</v>
      </c>
      <c r="E805" s="15">
        <f>VLOOKUP(A805,'[1]תקציב 2012 נכון להיום'!$A$2:$E$1361,5,FALSE)</f>
        <v>19096.05</v>
      </c>
      <c r="F805" s="15">
        <v>277000</v>
      </c>
      <c r="G805" s="15">
        <v>10783.14</v>
      </c>
      <c r="H805" s="15">
        <v>0</v>
      </c>
    </row>
    <row r="806" spans="1:8" x14ac:dyDescent="0.15">
      <c r="A806">
        <v>1812210760</v>
      </c>
      <c r="B806" t="s">
        <v>963</v>
      </c>
      <c r="C806" s="16" t="e">
        <f>VLOOKUP(A806,#REF!,3,FALSE)</f>
        <v>#REF!</v>
      </c>
      <c r="E806" s="15">
        <f>VLOOKUP(A806,'[1]תקציב 2012 נכון להיום'!$A$2:$E$1361,5,FALSE)</f>
        <v>3457368.69</v>
      </c>
      <c r="F806" s="15">
        <v>4727931</v>
      </c>
      <c r="G806" s="15">
        <v>4034350.31</v>
      </c>
      <c r="H806" s="15">
        <v>4838364.6500000004</v>
      </c>
    </row>
    <row r="807" spans="1:8" x14ac:dyDescent="0.15">
      <c r="A807">
        <v>1812220760</v>
      </c>
      <c r="B807" t="s">
        <v>363</v>
      </c>
      <c r="C807" s="16" t="e">
        <f>VLOOKUP(A807,#REF!,3,FALSE)</f>
        <v>#REF!</v>
      </c>
      <c r="E807" s="15">
        <f>VLOOKUP(A807,'[1]תקציב 2012 נכון להיום'!$A$2:$E$1361,5,FALSE)</f>
        <v>2028092</v>
      </c>
      <c r="F807" s="15">
        <v>2800000</v>
      </c>
      <c r="G807" s="15">
        <v>3570327</v>
      </c>
      <c r="H807" s="15">
        <v>2733972</v>
      </c>
    </row>
    <row r="808" spans="1:8" x14ac:dyDescent="0.15">
      <c r="A808">
        <v>1812500780</v>
      </c>
      <c r="B808" t="s">
        <v>964</v>
      </c>
      <c r="C808" s="16" t="e">
        <f>VLOOKUP(A808,#REF!,3,FALSE)</f>
        <v>#REF!</v>
      </c>
      <c r="E808" s="15">
        <f>VLOOKUP(A808,'[1]תקציב 2012 נכון להיום'!$A$2:$E$1361,5,FALSE)</f>
        <v>776456.38</v>
      </c>
      <c r="F808" s="15">
        <v>1100376</v>
      </c>
      <c r="G808" s="15">
        <v>1262249.79</v>
      </c>
      <c r="H808" s="15">
        <v>928892.36</v>
      </c>
    </row>
    <row r="809" spans="1:8" x14ac:dyDescent="0.15">
      <c r="A809">
        <v>1812501780</v>
      </c>
      <c r="B809" t="s">
        <v>965</v>
      </c>
      <c r="C809" s="16" t="e">
        <f>VLOOKUP(A809,#REF!,3,FALSE)</f>
        <v>#REF!</v>
      </c>
      <c r="E809" s="15">
        <f>VLOOKUP(A809,'[1]תקציב 2012 נכון להיום'!$A$2:$E$1361,5,FALSE)</f>
        <v>1262937.44</v>
      </c>
      <c r="F809" s="15">
        <v>2185000</v>
      </c>
      <c r="G809" s="15">
        <v>2163274.3199999998</v>
      </c>
      <c r="H809" s="15">
        <v>1234990</v>
      </c>
    </row>
    <row r="810" spans="1:8" x14ac:dyDescent="0.15">
      <c r="A810">
        <v>1813200430</v>
      </c>
      <c r="B810" t="s">
        <v>839</v>
      </c>
      <c r="C810" s="16" t="e">
        <f>VLOOKUP(A810,#REF!,3,FALSE)</f>
        <v>#REF!</v>
      </c>
      <c r="E810" s="15">
        <f>VLOOKUP(A810,'[1]תקציב 2012 נכון להיום'!$A$2:$E$1361,5,FALSE)</f>
        <v>816724.32</v>
      </c>
      <c r="F810" s="15">
        <v>1155000</v>
      </c>
      <c r="G810" s="15">
        <v>1140096.81</v>
      </c>
      <c r="H810" s="15">
        <v>1265758.92</v>
      </c>
    </row>
    <row r="811" spans="1:8" x14ac:dyDescent="0.15">
      <c r="A811">
        <v>1813200470</v>
      </c>
      <c r="B811" t="s">
        <v>966</v>
      </c>
      <c r="C811" s="16" t="e">
        <f>VLOOKUP(A811,#REF!,3,FALSE)</f>
        <v>#REF!</v>
      </c>
      <c r="E811" s="15">
        <f>VLOOKUP(A811,'[1]תקציב 2012 נכון להיום'!$A$2:$E$1361,5,FALSE)</f>
        <v>25117</v>
      </c>
      <c r="F811" s="15">
        <v>25000</v>
      </c>
      <c r="G811" s="15">
        <v>25168</v>
      </c>
      <c r="H811" s="15">
        <v>27065</v>
      </c>
    </row>
    <row r="812" spans="1:8" x14ac:dyDescent="0.15">
      <c r="A812">
        <v>1813200540</v>
      </c>
      <c r="B812" t="s">
        <v>967</v>
      </c>
      <c r="C812" s="16" t="e">
        <f>VLOOKUP(A812,#REF!,3,FALSE)</f>
        <v>#REF!</v>
      </c>
      <c r="E812" s="15">
        <f>VLOOKUP(A812,'[1]תקציב 2012 נכון להיום'!$A$2:$E$1361,5,FALSE)</f>
        <v>25604</v>
      </c>
      <c r="F812" s="15">
        <v>25000</v>
      </c>
      <c r="G812" s="15">
        <v>25567</v>
      </c>
      <c r="H812" s="15">
        <v>25692</v>
      </c>
    </row>
    <row r="813" spans="1:8" x14ac:dyDescent="0.15">
      <c r="A813">
        <v>1813200720</v>
      </c>
      <c r="B813" t="s">
        <v>689</v>
      </c>
      <c r="C813" s="16" t="e">
        <f>VLOOKUP(A813,#REF!,3,FALSE)</f>
        <v>#REF!</v>
      </c>
      <c r="E813" s="15">
        <f>VLOOKUP(A813,'[1]תקציב 2012 נכון להיום'!$A$2:$E$1361,5,FALSE)</f>
        <v>157817</v>
      </c>
      <c r="F813" s="15">
        <v>150000</v>
      </c>
      <c r="G813" s="15">
        <v>100736</v>
      </c>
      <c r="H813" s="15">
        <v>98965.03</v>
      </c>
    </row>
    <row r="814" spans="1:8" x14ac:dyDescent="0.15">
      <c r="A814">
        <v>1813200721</v>
      </c>
      <c r="B814" t="s">
        <v>968</v>
      </c>
      <c r="C814" s="16" t="e">
        <f>VLOOKUP(A814,#REF!,3,FALSE)</f>
        <v>#REF!</v>
      </c>
      <c r="E814" s="15">
        <f>VLOOKUP(A814,'[1]תקציב 2012 נכון להיום'!$A$2:$E$1361,5,FALSE)</f>
        <v>380593</v>
      </c>
      <c r="F814" s="15">
        <v>375000</v>
      </c>
      <c r="G814" s="15">
        <v>303770</v>
      </c>
      <c r="H814" s="15">
        <v>309872</v>
      </c>
    </row>
    <row r="815" spans="1:8" x14ac:dyDescent="0.15">
      <c r="A815">
        <v>1813200750</v>
      </c>
      <c r="B815" t="s">
        <v>714</v>
      </c>
      <c r="C815" s="16" t="e">
        <f>VLOOKUP(A815,#REF!,3,FALSE)</f>
        <v>#REF!</v>
      </c>
      <c r="E815" s="15">
        <f>VLOOKUP(A815,'[1]תקציב 2012 נכון להיום'!$A$2:$E$1361,5,FALSE)</f>
        <v>362998.51</v>
      </c>
      <c r="F815" s="15">
        <v>380000</v>
      </c>
      <c r="G815" s="15">
        <v>397110.99</v>
      </c>
      <c r="H815" s="15">
        <v>54996.1</v>
      </c>
    </row>
    <row r="816" spans="1:8" x14ac:dyDescent="0.15">
      <c r="A816">
        <v>1813200780</v>
      </c>
      <c r="B816" t="s">
        <v>580</v>
      </c>
      <c r="C816" s="16" t="e">
        <f>VLOOKUP(A816,#REF!,3,FALSE)</f>
        <v>#REF!</v>
      </c>
      <c r="E816" s="15">
        <f>VLOOKUP(A816,'[1]תקציב 2012 נכון להיום'!$A$2:$E$1361,5,FALSE)</f>
        <v>26436</v>
      </c>
      <c r="F816" s="15">
        <v>25000</v>
      </c>
      <c r="G816" s="15">
        <v>91242.17</v>
      </c>
      <c r="H816" s="15">
        <v>54960.67</v>
      </c>
    </row>
    <row r="817" spans="1:8" x14ac:dyDescent="0.15">
      <c r="A817">
        <v>1813200980</v>
      </c>
      <c r="B817" t="s">
        <v>969</v>
      </c>
      <c r="C817" s="16" t="e">
        <f>VLOOKUP(A817,#REF!,3,FALSE)</f>
        <v>#REF!</v>
      </c>
      <c r="E817" s="15">
        <f>VLOOKUP(A817,'[1]תקציב 2012 נכון להיום'!$A$2:$E$1361,5,FALSE)</f>
        <v>927449</v>
      </c>
      <c r="F817" s="15">
        <v>1535431</v>
      </c>
      <c r="G817" s="15">
        <v>0</v>
      </c>
      <c r="H817" s="15">
        <v>0</v>
      </c>
    </row>
    <row r="818" spans="1:8" x14ac:dyDescent="0.15">
      <c r="A818">
        <v>1813201750</v>
      </c>
      <c r="B818" t="s">
        <v>970</v>
      </c>
      <c r="C818" s="16" t="e">
        <f>VLOOKUP(A818,#REF!,3,FALSE)</f>
        <v>#REF!</v>
      </c>
      <c r="E818" s="15">
        <f>VLOOKUP(A818,'[1]תקציב 2012 נכון להיום'!$A$2:$E$1361,5,FALSE)</f>
        <v>264628</v>
      </c>
      <c r="F818" s="15">
        <v>264616.8</v>
      </c>
      <c r="G818" s="15">
        <v>0</v>
      </c>
      <c r="H818" s="15">
        <v>0</v>
      </c>
    </row>
    <row r="819" spans="1:8" x14ac:dyDescent="0.15">
      <c r="A819">
        <v>1813205760</v>
      </c>
      <c r="B819" t="s">
        <v>971</v>
      </c>
      <c r="C819" s="16" t="e">
        <f>VLOOKUP(A819,#REF!,3,FALSE)</f>
        <v>#REF!</v>
      </c>
      <c r="E819" s="15">
        <f>VLOOKUP(A819,'[1]תקציב 2012 נכון להיום'!$A$2:$E$1361,5,FALSE)</f>
        <v>75000</v>
      </c>
      <c r="F819" s="15">
        <v>75000</v>
      </c>
      <c r="G819" s="15">
        <v>75000</v>
      </c>
      <c r="H819" s="15">
        <v>75000</v>
      </c>
    </row>
    <row r="820" spans="1:8" x14ac:dyDescent="0.15">
      <c r="A820">
        <v>1813205780</v>
      </c>
      <c r="B820" t="s">
        <v>972</v>
      </c>
      <c r="C820" s="16" t="e">
        <f>VLOOKUP(A820,#REF!,3,FALSE)</f>
        <v>#REF!</v>
      </c>
      <c r="E820" s="15">
        <f>VLOOKUP(A820,'[1]תקציב 2012 נכון להיום'!$A$2:$E$1361,5,FALSE)</f>
        <v>300000</v>
      </c>
      <c r="F820" s="15">
        <v>300000</v>
      </c>
      <c r="G820" s="15">
        <v>300000</v>
      </c>
      <c r="H820" s="15">
        <v>300000</v>
      </c>
    </row>
    <row r="821" spans="1:8" x14ac:dyDescent="0.15">
      <c r="A821">
        <v>1813205781</v>
      </c>
      <c r="B821" t="s">
        <v>973</v>
      </c>
      <c r="C821" s="16" t="e">
        <f>VLOOKUP(A821,#REF!,3,FALSE)</f>
        <v>#REF!</v>
      </c>
      <c r="E821" s="15">
        <f>VLOOKUP(A821,'[1]תקציב 2012 נכון להיום'!$A$2:$E$1361,5,FALSE)</f>
        <v>0</v>
      </c>
      <c r="F821" s="15">
        <v>60000</v>
      </c>
      <c r="G821" s="15">
        <v>60000</v>
      </c>
      <c r="H821" s="15">
        <v>0</v>
      </c>
    </row>
    <row r="822" spans="1:8" x14ac:dyDescent="0.15">
      <c r="A822">
        <v>1813211750</v>
      </c>
      <c r="B822" t="s">
        <v>974</v>
      </c>
      <c r="C822" s="16" t="e">
        <f>VLOOKUP(A822,#REF!,3,FALSE)</f>
        <v>#REF!</v>
      </c>
      <c r="E822" s="15">
        <f>VLOOKUP(A822,'[1]תקציב 2012 נכון להיום'!$A$2:$E$1361,5,FALSE)</f>
        <v>688264</v>
      </c>
      <c r="F822" s="15">
        <v>1044750</v>
      </c>
      <c r="G822" s="15">
        <v>1184967</v>
      </c>
      <c r="H822" s="15">
        <v>1098173</v>
      </c>
    </row>
    <row r="823" spans="1:8" x14ac:dyDescent="0.15">
      <c r="A823">
        <v>1813300430</v>
      </c>
      <c r="B823" t="s">
        <v>975</v>
      </c>
      <c r="C823" s="16" t="e">
        <f>VLOOKUP(A823,#REF!,3,FALSE)</f>
        <v>#REF!</v>
      </c>
      <c r="E823" s="15">
        <f>VLOOKUP(A823,'[1]תקציב 2012 נכון להיום'!$A$2:$E$1361,5,FALSE)</f>
        <v>5000</v>
      </c>
      <c r="F823" s="15">
        <v>5000</v>
      </c>
      <c r="G823" s="15">
        <v>5000</v>
      </c>
      <c r="H823" s="15">
        <v>17831</v>
      </c>
    </row>
    <row r="824" spans="1:8" x14ac:dyDescent="0.15">
      <c r="A824">
        <v>1813300721</v>
      </c>
      <c r="B824" t="s">
        <v>976</v>
      </c>
      <c r="C824" s="16" t="e">
        <f>VLOOKUP(A824,#REF!,3,FALSE)</f>
        <v>#REF!</v>
      </c>
      <c r="E824" s="15">
        <f>VLOOKUP(A824,'[1]תקציב 2012 נכון להיום'!$A$2:$E$1361,5,FALSE)</f>
        <v>116464.06</v>
      </c>
      <c r="F824" s="15">
        <v>180000</v>
      </c>
      <c r="G824" s="15">
        <v>180213.88</v>
      </c>
      <c r="H824" s="15">
        <v>178645.4</v>
      </c>
    </row>
    <row r="825" spans="1:8" x14ac:dyDescent="0.15">
      <c r="A825">
        <v>1813300780</v>
      </c>
      <c r="B825" t="s">
        <v>977</v>
      </c>
      <c r="C825" s="16" t="e">
        <f>VLOOKUP(A825,#REF!,3,FALSE)</f>
        <v>#REF!</v>
      </c>
      <c r="E825" s="15">
        <f>VLOOKUP(A825,'[1]תקציב 2012 נכון להיום'!$A$2:$E$1361,5,FALSE)</f>
        <v>21761</v>
      </c>
      <c r="F825" s="15">
        <v>20000</v>
      </c>
      <c r="G825" s="15">
        <v>20000</v>
      </c>
      <c r="H825" s="15">
        <v>4563</v>
      </c>
    </row>
    <row r="826" spans="1:8" x14ac:dyDescent="0.15">
      <c r="A826">
        <v>1813311750</v>
      </c>
      <c r="B826" t="s">
        <v>978</v>
      </c>
      <c r="C826" s="16" t="e">
        <f>VLOOKUP(A826,#REF!,3,FALSE)</f>
        <v>#REF!</v>
      </c>
      <c r="E826" s="15">
        <f>VLOOKUP(A826,'[1]תקציב 2012 נכון להיום'!$A$2:$E$1361,5,FALSE)</f>
        <v>138519</v>
      </c>
      <c r="F826" s="15">
        <v>232055</v>
      </c>
      <c r="G826" s="15">
        <v>240252</v>
      </c>
      <c r="H826" s="15">
        <v>203191</v>
      </c>
    </row>
    <row r="827" spans="1:8" x14ac:dyDescent="0.15">
      <c r="A827">
        <v>1813317780</v>
      </c>
      <c r="B827" t="s">
        <v>289</v>
      </c>
      <c r="C827" s="16" t="e">
        <f>VLOOKUP(A827,#REF!,3,FALSE)</f>
        <v>#REF!</v>
      </c>
      <c r="E827" s="15">
        <f>VLOOKUP(A827,'[1]תקציב 2012 נכון להיום'!$A$2:$E$1361,5,FALSE)</f>
        <v>1230077</v>
      </c>
      <c r="F827" s="15">
        <v>1150000</v>
      </c>
      <c r="G827" s="15">
        <v>1281862.08</v>
      </c>
      <c r="H827" s="15">
        <v>1364463.4</v>
      </c>
    </row>
    <row r="828" spans="1:8" x14ac:dyDescent="0.15">
      <c r="A828">
        <v>1813700750</v>
      </c>
      <c r="B828" t="s">
        <v>979</v>
      </c>
      <c r="C828" s="16" t="e">
        <f>VLOOKUP(A828,#REF!,3,FALSE)</f>
        <v>#REF!</v>
      </c>
      <c r="E828" s="15">
        <f>VLOOKUP(A828,'[1]תקציב 2012 נכון להיום'!$A$2:$E$1361,5,FALSE)</f>
        <v>32921.919999999998</v>
      </c>
      <c r="F828" s="15">
        <v>69000</v>
      </c>
      <c r="G828" s="15">
        <v>34960.089999999997</v>
      </c>
      <c r="H828" s="15">
        <v>26029.200000000001</v>
      </c>
    </row>
    <row r="829" spans="1:8" x14ac:dyDescent="0.15">
      <c r="A829">
        <v>1813700780</v>
      </c>
      <c r="B829" t="s">
        <v>980</v>
      </c>
      <c r="C829" s="16" t="e">
        <f>VLOOKUP(A829,#REF!,3,FALSE)</f>
        <v>#REF!</v>
      </c>
      <c r="E829" s="15">
        <f>VLOOKUP(A829,'[1]תקציב 2012 נכון להיום'!$A$2:$E$1361,5,FALSE)</f>
        <v>937</v>
      </c>
      <c r="F829" s="15">
        <v>2000</v>
      </c>
      <c r="G829" s="15">
        <v>804</v>
      </c>
      <c r="H829" s="15">
        <v>1713</v>
      </c>
    </row>
    <row r="830" spans="1:8" x14ac:dyDescent="0.15">
      <c r="A830">
        <v>1815200810</v>
      </c>
      <c r="B830" t="s">
        <v>981</v>
      </c>
      <c r="C830" s="16" t="e">
        <f>VLOOKUP(A830,#REF!,3,FALSE)</f>
        <v>#REF!</v>
      </c>
      <c r="E830" s="15">
        <f>VLOOKUP(A830,'[1]תקציב 2012 נכון להיום'!$A$2:$E$1361,5,FALSE)</f>
        <v>38350</v>
      </c>
      <c r="F830" s="15">
        <v>38530</v>
      </c>
      <c r="G830" s="15">
        <v>35000</v>
      </c>
      <c r="H830" s="15">
        <v>35000</v>
      </c>
    </row>
    <row r="831" spans="1:8" x14ac:dyDescent="0.15">
      <c r="A831">
        <v>1815700810</v>
      </c>
      <c r="B831" t="s">
        <v>982</v>
      </c>
      <c r="C831" s="16" t="e">
        <f>VLOOKUP(A831,#REF!,3,FALSE)</f>
        <v>#REF!</v>
      </c>
      <c r="E831" s="15">
        <f>VLOOKUP(A831,'[1]תקציב 2012 נכון להיום'!$A$2:$E$1361,5,FALSE)</f>
        <v>30000</v>
      </c>
      <c r="F831" s="15">
        <v>60000</v>
      </c>
      <c r="G831" s="15">
        <v>65120</v>
      </c>
      <c r="H831" s="15">
        <v>423639</v>
      </c>
    </row>
    <row r="832" spans="1:8" x14ac:dyDescent="0.15">
      <c r="A832">
        <v>1815701810</v>
      </c>
      <c r="B832" t="s">
        <v>983</v>
      </c>
      <c r="C832" s="16" t="e">
        <f>VLOOKUP(A832,#REF!,3,FALSE)</f>
        <v>#REF!</v>
      </c>
      <c r="E832" s="15">
        <f>VLOOKUP(A832,'[1]תקציב 2012 נכון להיום'!$A$2:$E$1361,5,FALSE)</f>
        <v>12000000</v>
      </c>
      <c r="F832" s="15">
        <v>12000000</v>
      </c>
      <c r="G832" s="15">
        <v>0</v>
      </c>
      <c r="H832" s="15">
        <v>0</v>
      </c>
    </row>
    <row r="833" spans="1:8" x14ac:dyDescent="0.15">
      <c r="A833">
        <v>1815730422</v>
      </c>
      <c r="B833" t="s">
        <v>984</v>
      </c>
      <c r="C833" s="16" t="e">
        <f>VLOOKUP(A833,#REF!,3,FALSE)</f>
        <v>#REF!</v>
      </c>
      <c r="E833" s="15">
        <f>VLOOKUP(A833,'[1]תקציב 2012 נכון להיום'!$A$2:$E$1361,5,FALSE)</f>
        <v>13000</v>
      </c>
      <c r="F833" s="15">
        <v>13000</v>
      </c>
      <c r="G833" s="15">
        <v>13000</v>
      </c>
      <c r="H833" s="15">
        <v>13000</v>
      </c>
    </row>
    <row r="834" spans="1:8" x14ac:dyDescent="0.15">
      <c r="A834">
        <v>1815777780</v>
      </c>
      <c r="B834" t="s">
        <v>985</v>
      </c>
      <c r="C834" s="16" t="e">
        <f>VLOOKUP(A834,#REF!,3,FALSE)</f>
        <v>#REF!</v>
      </c>
      <c r="E834" s="15">
        <f>VLOOKUP(A834,'[1]תקציב 2012 נכון להיום'!$A$2:$E$1361,5,FALSE)</f>
        <v>534734</v>
      </c>
      <c r="F834" s="15">
        <v>1069469</v>
      </c>
      <c r="G834" s="15">
        <v>1062825</v>
      </c>
      <c r="H834" s="15">
        <v>1725301</v>
      </c>
    </row>
    <row r="835" spans="1:8" x14ac:dyDescent="0.15">
      <c r="A835">
        <v>1815777781</v>
      </c>
      <c r="B835" t="s">
        <v>985</v>
      </c>
      <c r="C835" s="16" t="e">
        <f>VLOOKUP(A835,#REF!,3,FALSE)</f>
        <v>#REF!</v>
      </c>
      <c r="E835" s="15">
        <f>VLOOKUP(A835,'[1]תקציב 2012 נכון להיום'!$A$2:$E$1361,5,FALSE)</f>
        <v>16000000</v>
      </c>
      <c r="F835" s="15">
        <v>16000000</v>
      </c>
      <c r="G835" s="15">
        <v>0</v>
      </c>
      <c r="H835" s="15">
        <v>0</v>
      </c>
    </row>
    <row r="836" spans="1:8" x14ac:dyDescent="0.15">
      <c r="A836">
        <v>1815788780</v>
      </c>
      <c r="B836" t="s">
        <v>986</v>
      </c>
      <c r="C836" s="16" t="e">
        <f>VLOOKUP(A836,#REF!,3,FALSE)</f>
        <v>#REF!</v>
      </c>
      <c r="E836" s="15">
        <f>VLOOKUP(A836,'[1]תקציב 2012 נכון להיום'!$A$2:$E$1361,5,FALSE)</f>
        <v>153790.57999999999</v>
      </c>
      <c r="F836" s="15">
        <v>306324</v>
      </c>
      <c r="G836" s="15">
        <v>242937.24</v>
      </c>
      <c r="H836" s="15">
        <v>313119.84999999998</v>
      </c>
    </row>
    <row r="837" spans="1:8" x14ac:dyDescent="0.15">
      <c r="A837">
        <v>1815788781</v>
      </c>
      <c r="B837" t="s">
        <v>292</v>
      </c>
      <c r="C837" s="16" t="e">
        <f>VLOOKUP(A837,#REF!,3,FALSE)</f>
        <v>#REF!</v>
      </c>
      <c r="E837" s="15">
        <f>VLOOKUP(A837,'[1]תקציב 2012 נכון להיום'!$A$2:$E$1361,5,FALSE)</f>
        <v>7000000</v>
      </c>
      <c r="F837" s="15">
        <v>7000000</v>
      </c>
      <c r="G837" s="15">
        <v>0</v>
      </c>
      <c r="H837" s="15">
        <v>0</v>
      </c>
    </row>
    <row r="838" spans="1:8" x14ac:dyDescent="0.15">
      <c r="A838">
        <v>1817000980</v>
      </c>
      <c r="B838" t="s">
        <v>987</v>
      </c>
      <c r="C838" s="16" t="e">
        <f>VLOOKUP(A838,#REF!,3,FALSE)</f>
        <v>#REF!</v>
      </c>
      <c r="E838" s="15">
        <f>VLOOKUP(A838,'[1]תקציב 2012 נכון להיום'!$A$2:$E$1361,5,FALSE)</f>
        <v>887180.38</v>
      </c>
      <c r="F838" s="15">
        <v>1010000</v>
      </c>
      <c r="G838" s="15">
        <v>797462.96</v>
      </c>
      <c r="H838" s="15">
        <v>928454.49</v>
      </c>
    </row>
    <row r="839" spans="1:8" x14ac:dyDescent="0.15">
      <c r="A839">
        <v>1817100750</v>
      </c>
      <c r="B839" t="s">
        <v>988</v>
      </c>
      <c r="C839" s="16" t="e">
        <f>VLOOKUP(A839,#REF!,3,FALSE)</f>
        <v>#REF!</v>
      </c>
      <c r="E839" s="15">
        <f>VLOOKUP(A839,'[1]תקציב 2012 נכון להיום'!$A$2:$E$1361,5,FALSE)</f>
        <v>897955.81</v>
      </c>
      <c r="F839" s="15">
        <v>1531422</v>
      </c>
      <c r="G839" s="15">
        <v>1391428.99</v>
      </c>
      <c r="H839" s="15">
        <v>1483499</v>
      </c>
    </row>
    <row r="840" spans="1:8" x14ac:dyDescent="0.15">
      <c r="A840">
        <v>1817200540</v>
      </c>
      <c r="B840" t="s">
        <v>989</v>
      </c>
      <c r="C840" s="16" t="e">
        <f>VLOOKUP(A840,#REF!,3,FALSE)</f>
        <v>#REF!</v>
      </c>
      <c r="E840" s="15">
        <f>VLOOKUP(A840,'[1]תקציב 2012 נכון להיום'!$A$2:$E$1361,5,FALSE)</f>
        <v>2075.25</v>
      </c>
      <c r="F840" s="15">
        <v>8000</v>
      </c>
      <c r="G840" s="15">
        <v>3660.84</v>
      </c>
      <c r="H840" s="15">
        <v>6785.38</v>
      </c>
    </row>
    <row r="841" spans="1:8" x14ac:dyDescent="0.15">
      <c r="A841">
        <v>1817200780</v>
      </c>
      <c r="B841" t="s">
        <v>990</v>
      </c>
      <c r="C841" s="16" t="e">
        <f>VLOOKUP(A841,#REF!,3,FALSE)</f>
        <v>#REF!</v>
      </c>
      <c r="E841" s="15">
        <f>VLOOKUP(A841,'[1]תקציב 2012 נכון להיום'!$A$2:$E$1361,5,FALSE)</f>
        <v>2937.46</v>
      </c>
      <c r="F841" s="15">
        <v>8000</v>
      </c>
      <c r="G841" s="15">
        <v>4906.7299999999996</v>
      </c>
      <c r="H841" s="15">
        <v>6420.69</v>
      </c>
    </row>
    <row r="842" spans="1:8" x14ac:dyDescent="0.15">
      <c r="A842">
        <v>1817300430</v>
      </c>
      <c r="B842" t="s">
        <v>839</v>
      </c>
      <c r="C842" s="16" t="e">
        <f>VLOOKUP(A842,#REF!,3,FALSE)</f>
        <v>#REF!</v>
      </c>
      <c r="E842" s="15">
        <f>VLOOKUP(A842,'[1]תקציב 2012 נכון להיום'!$A$2:$E$1361,5,FALSE)</f>
        <v>16866.2</v>
      </c>
      <c r="F842" s="15">
        <v>18000</v>
      </c>
      <c r="G842" s="15">
        <v>14438.7</v>
      </c>
      <c r="H842" s="15">
        <v>12371.74</v>
      </c>
    </row>
    <row r="843" spans="1:8" x14ac:dyDescent="0.15">
      <c r="A843">
        <v>1817300470</v>
      </c>
      <c r="B843" t="s">
        <v>820</v>
      </c>
      <c r="C843" s="16" t="e">
        <f>VLOOKUP(A843,#REF!,3,FALSE)</f>
        <v>#REF!</v>
      </c>
      <c r="E843" s="15">
        <f>VLOOKUP(A843,'[1]תקציב 2012 נכון להיום'!$A$2:$E$1361,5,FALSE)</f>
        <v>2348.09</v>
      </c>
      <c r="F843" s="15">
        <v>3000</v>
      </c>
      <c r="G843" s="15">
        <v>3217.39</v>
      </c>
      <c r="H843" s="15">
        <v>3158.99</v>
      </c>
    </row>
    <row r="844" spans="1:8" x14ac:dyDescent="0.15">
      <c r="A844">
        <v>1817300511</v>
      </c>
      <c r="B844" t="s">
        <v>697</v>
      </c>
      <c r="C844" s="16" t="e">
        <f>VLOOKUP(A844,#REF!,3,FALSE)</f>
        <v>#REF!</v>
      </c>
      <c r="E844" s="15">
        <f>VLOOKUP(A844,'[1]תקציב 2012 נכון להיום'!$A$2:$E$1361,5,FALSE)</f>
        <v>0</v>
      </c>
      <c r="F844" s="15">
        <v>1500</v>
      </c>
      <c r="G844" s="15">
        <v>1045.81</v>
      </c>
      <c r="H844" s="15">
        <v>1501.5</v>
      </c>
    </row>
    <row r="845" spans="1:8" x14ac:dyDescent="0.15">
      <c r="A845">
        <v>1817300521</v>
      </c>
      <c r="B845" t="s">
        <v>991</v>
      </c>
      <c r="C845" s="16" t="e">
        <f>VLOOKUP(A845,#REF!,3,FALSE)</f>
        <v>#REF!</v>
      </c>
      <c r="E845" s="15">
        <f>VLOOKUP(A845,'[1]תקציב 2012 נכון להיום'!$A$2:$E$1361,5,FALSE)</f>
        <v>29006</v>
      </c>
      <c r="F845" s="15">
        <v>55334</v>
      </c>
      <c r="G845" s="15">
        <v>51452</v>
      </c>
      <c r="H845" s="15">
        <v>49656.7</v>
      </c>
    </row>
    <row r="846" spans="1:8" x14ac:dyDescent="0.15">
      <c r="A846">
        <v>1817300540</v>
      </c>
      <c r="B846" t="s">
        <v>875</v>
      </c>
      <c r="C846" s="16" t="e">
        <f>VLOOKUP(A846,#REF!,3,FALSE)</f>
        <v>#REF!</v>
      </c>
      <c r="E846" s="15">
        <f>VLOOKUP(A846,'[1]תקציב 2012 נכון להיום'!$A$2:$E$1361,5,FALSE)</f>
        <v>7122.07</v>
      </c>
      <c r="F846" s="15">
        <v>11000</v>
      </c>
      <c r="G846" s="15">
        <v>9997.74</v>
      </c>
      <c r="H846" s="15">
        <v>12014</v>
      </c>
    </row>
    <row r="847" spans="1:8" x14ac:dyDescent="0.15">
      <c r="A847">
        <v>1817300720</v>
      </c>
      <c r="B847" t="s">
        <v>689</v>
      </c>
      <c r="C847" s="16" t="e">
        <f>VLOOKUP(A847,#REF!,3,FALSE)</f>
        <v>#REF!</v>
      </c>
      <c r="E847" s="15">
        <f>VLOOKUP(A847,'[1]תקציב 2012 נכון להיום'!$A$2:$E$1361,5,FALSE)</f>
        <v>682.75</v>
      </c>
      <c r="F847" s="15">
        <v>1000</v>
      </c>
      <c r="G847" s="15">
        <v>946.61</v>
      </c>
      <c r="H847" s="15">
        <v>801.92</v>
      </c>
    </row>
    <row r="848" spans="1:8" x14ac:dyDescent="0.15">
      <c r="A848">
        <v>1817300750</v>
      </c>
      <c r="B848" t="s">
        <v>714</v>
      </c>
      <c r="C848" s="16" t="e">
        <f>VLOOKUP(A848,#REF!,3,FALSE)</f>
        <v>#REF!</v>
      </c>
      <c r="E848" s="15">
        <f>VLOOKUP(A848,'[1]תקציב 2012 נכון להיום'!$A$2:$E$1361,5,FALSE)</f>
        <v>3300</v>
      </c>
      <c r="F848" s="15">
        <v>5000</v>
      </c>
      <c r="G848" s="15">
        <v>5000.05</v>
      </c>
      <c r="H848" s="15">
        <v>5000</v>
      </c>
    </row>
    <row r="849" spans="1:8" x14ac:dyDescent="0.15">
      <c r="A849">
        <v>1817300780</v>
      </c>
      <c r="B849" t="s">
        <v>580</v>
      </c>
      <c r="C849" s="16" t="e">
        <f>VLOOKUP(A849,#REF!,3,FALSE)</f>
        <v>#REF!</v>
      </c>
      <c r="E849" s="15">
        <f>VLOOKUP(A849,'[1]תקציב 2012 נכון להיום'!$A$2:$E$1361,5,FALSE)</f>
        <v>3854.58</v>
      </c>
      <c r="F849" s="15">
        <v>5000</v>
      </c>
      <c r="G849" s="15">
        <v>6301.72</v>
      </c>
      <c r="H849" s="15">
        <v>4645.05</v>
      </c>
    </row>
    <row r="850" spans="1:8" x14ac:dyDescent="0.15">
      <c r="A850">
        <v>1817500760</v>
      </c>
      <c r="B850" t="s">
        <v>992</v>
      </c>
      <c r="C850" s="16" t="e">
        <f>VLOOKUP(A850,#REF!,3,FALSE)</f>
        <v>#REF!</v>
      </c>
      <c r="E850" s="15">
        <f>VLOOKUP(A850,'[1]תקציב 2012 נכון להיום'!$A$2:$E$1361,5,FALSE)</f>
        <v>116892</v>
      </c>
      <c r="F850" s="15">
        <v>207000</v>
      </c>
      <c r="G850" s="15">
        <v>197710</v>
      </c>
      <c r="H850" s="15">
        <v>191012</v>
      </c>
    </row>
    <row r="851" spans="1:8" x14ac:dyDescent="0.15">
      <c r="A851">
        <v>1817600980</v>
      </c>
      <c r="B851" t="s">
        <v>993</v>
      </c>
      <c r="C851" s="16" t="e">
        <f>VLOOKUP(A851,#REF!,3,FALSE)</f>
        <v>#REF!</v>
      </c>
      <c r="E851" s="15">
        <f>VLOOKUP(A851,'[1]תקציב 2012 נכון להיום'!$A$2:$E$1361,5,FALSE)</f>
        <v>532200</v>
      </c>
      <c r="F851" s="15">
        <v>912563</v>
      </c>
      <c r="G851" s="15">
        <v>1121497.8500000001</v>
      </c>
      <c r="H851" s="15">
        <v>901119.73</v>
      </c>
    </row>
    <row r="852" spans="1:8" x14ac:dyDescent="0.15">
      <c r="A852">
        <v>1817700780</v>
      </c>
      <c r="B852" t="s">
        <v>388</v>
      </c>
      <c r="C852" s="16" t="e">
        <f>VLOOKUP(A852,#REF!,3,FALSE)</f>
        <v>#REF!</v>
      </c>
      <c r="E852" s="15">
        <f>VLOOKUP(A852,'[1]תקציב 2012 נכון להיום'!$A$2:$E$1361,5,FALSE)</f>
        <v>4980</v>
      </c>
      <c r="F852" s="15">
        <v>5000</v>
      </c>
      <c r="G852" s="15">
        <v>1871</v>
      </c>
      <c r="H852" s="15">
        <v>2588</v>
      </c>
    </row>
    <row r="853" spans="1:8" x14ac:dyDescent="0.15">
      <c r="A853">
        <v>1817710721</v>
      </c>
      <c r="B853" t="s">
        <v>994</v>
      </c>
      <c r="C853" s="16" t="e">
        <f>VLOOKUP(A853,#REF!,3,FALSE)</f>
        <v>#REF!</v>
      </c>
      <c r="E853" s="15">
        <f>VLOOKUP(A853,'[1]תקציב 2012 נכון להיום'!$A$2:$E$1361,5,FALSE)</f>
        <v>34750</v>
      </c>
      <c r="F853" s="15">
        <v>214841</v>
      </c>
      <c r="G853" s="15">
        <v>0</v>
      </c>
      <c r="H853" s="15">
        <v>0</v>
      </c>
    </row>
    <row r="854" spans="1:8" x14ac:dyDescent="0.15">
      <c r="A854">
        <v>1817800510</v>
      </c>
      <c r="B854" t="s">
        <v>995</v>
      </c>
      <c r="C854" s="16" t="e">
        <f>VLOOKUP(A854,#REF!,3,FALSE)</f>
        <v>#REF!</v>
      </c>
      <c r="E854" s="15">
        <f>VLOOKUP(A854,'[1]תקציב 2012 נכון להיום'!$A$2:$E$1361,5,FALSE)</f>
        <v>2717583.77</v>
      </c>
      <c r="F854" s="15">
        <v>4780160</v>
      </c>
      <c r="G854" s="15">
        <v>4544236.97</v>
      </c>
      <c r="H854" s="15">
        <v>5022275.7</v>
      </c>
    </row>
    <row r="855" spans="1:8" x14ac:dyDescent="0.15">
      <c r="A855">
        <v>1817900430</v>
      </c>
      <c r="B855" t="s">
        <v>996</v>
      </c>
      <c r="C855" s="16" t="e">
        <f>VLOOKUP(A855,#REF!,3,FALSE)</f>
        <v>#REF!</v>
      </c>
      <c r="E855" s="15">
        <f>VLOOKUP(A855,'[1]תקציב 2012 נכון להיום'!$A$2:$E$1361,5,FALSE)</f>
        <v>8323.3700000000008</v>
      </c>
      <c r="F855" s="15">
        <v>9000</v>
      </c>
      <c r="G855" s="15">
        <v>12547.11</v>
      </c>
      <c r="H855" s="15">
        <v>7314.84</v>
      </c>
    </row>
    <row r="856" spans="1:8" x14ac:dyDescent="0.15">
      <c r="A856">
        <v>1817900540</v>
      </c>
      <c r="B856" t="s">
        <v>997</v>
      </c>
      <c r="C856" s="16" t="e">
        <f>VLOOKUP(A856,#REF!,3,FALSE)</f>
        <v>#REF!</v>
      </c>
      <c r="E856" s="15">
        <f>VLOOKUP(A856,'[1]תקציב 2012 נכון להיום'!$A$2:$E$1361,5,FALSE)</f>
        <v>4231.54</v>
      </c>
      <c r="F856" s="15">
        <v>17000</v>
      </c>
      <c r="G856" s="15">
        <v>8189.74</v>
      </c>
      <c r="H856" s="15">
        <v>12741.92</v>
      </c>
    </row>
    <row r="857" spans="1:8" x14ac:dyDescent="0.15">
      <c r="A857">
        <v>1817900750</v>
      </c>
      <c r="B857" t="s">
        <v>714</v>
      </c>
      <c r="C857" s="16" t="e">
        <f>VLOOKUP(A857,#REF!,3,FALSE)</f>
        <v>#REF!</v>
      </c>
      <c r="E857" s="15">
        <f>VLOOKUP(A857,'[1]תקציב 2012 נכון להיום'!$A$2:$E$1361,5,FALSE)</f>
        <v>26270</v>
      </c>
      <c r="F857" s="15">
        <v>46000</v>
      </c>
      <c r="G857" s="15">
        <v>45127</v>
      </c>
      <c r="H857" s="15">
        <v>43232</v>
      </c>
    </row>
    <row r="858" spans="1:8" x14ac:dyDescent="0.15">
      <c r="A858">
        <v>1817900780</v>
      </c>
      <c r="B858" t="s">
        <v>580</v>
      </c>
      <c r="C858" s="16" t="e">
        <f>VLOOKUP(A858,#REF!,3,FALSE)</f>
        <v>#REF!</v>
      </c>
      <c r="E858" s="15">
        <f>VLOOKUP(A858,'[1]תקציב 2012 נכון להיום'!$A$2:$E$1361,5,FALSE)</f>
        <v>945</v>
      </c>
      <c r="F858" s="15">
        <v>5000</v>
      </c>
      <c r="G858" s="15">
        <v>3097.4</v>
      </c>
      <c r="H858" s="15">
        <v>6034.51</v>
      </c>
    </row>
    <row r="859" spans="1:8" x14ac:dyDescent="0.15">
      <c r="A859">
        <v>1817900910</v>
      </c>
      <c r="B859" t="s">
        <v>704</v>
      </c>
      <c r="C859" s="16" t="e">
        <f>VLOOKUP(A859,#REF!,3,FALSE)</f>
        <v>#REF!</v>
      </c>
      <c r="E859" s="15">
        <f>VLOOKUP(A859,'[1]תקציב 2012 נכון להיום'!$A$2:$E$1361,5,FALSE)</f>
        <v>52332</v>
      </c>
      <c r="F859" s="15">
        <v>52332</v>
      </c>
      <c r="G859" s="15">
        <v>96786</v>
      </c>
      <c r="H859" s="15">
        <v>77354</v>
      </c>
    </row>
    <row r="860" spans="1:8" x14ac:dyDescent="0.15">
      <c r="A860">
        <v>1817922780</v>
      </c>
      <c r="B860" t="s">
        <v>998</v>
      </c>
      <c r="C860" s="16" t="e">
        <f>VLOOKUP(A860,#REF!,3,FALSE)</f>
        <v>#REF!</v>
      </c>
      <c r="E860" s="15">
        <f>VLOOKUP(A860,'[1]תקציב 2012 נכון להיום'!$A$2:$E$1361,5,FALSE)</f>
        <v>0</v>
      </c>
      <c r="F860" s="15">
        <v>27200</v>
      </c>
      <c r="G860" s="15">
        <v>29190</v>
      </c>
      <c r="H860" s="15">
        <v>29190</v>
      </c>
    </row>
    <row r="861" spans="1:8" x14ac:dyDescent="0.15">
      <c r="A861">
        <v>1817950430</v>
      </c>
      <c r="B861" t="s">
        <v>999</v>
      </c>
      <c r="C861" s="16" t="e">
        <f>VLOOKUP(A861,#REF!,3,FALSE)</f>
        <v>#REF!</v>
      </c>
      <c r="E861" s="15">
        <f>VLOOKUP(A861,'[1]תקציב 2012 נכון להיום'!$A$2:$E$1361,5,FALSE)</f>
        <v>26395.360000000001</v>
      </c>
      <c r="F861" s="15">
        <v>100000</v>
      </c>
      <c r="G861" s="15">
        <v>48801.58</v>
      </c>
      <c r="H861" s="15">
        <v>39519.03</v>
      </c>
    </row>
    <row r="862" spans="1:8" x14ac:dyDescent="0.15">
      <c r="A862">
        <v>1817950540</v>
      </c>
      <c r="B862" t="s">
        <v>1000</v>
      </c>
      <c r="C862" s="16" t="e">
        <f>VLOOKUP(A862,#REF!,3,FALSE)</f>
        <v>#REF!</v>
      </c>
      <c r="E862" s="15">
        <f>VLOOKUP(A862,'[1]תקציב 2012 נכון להיום'!$A$2:$E$1361,5,FALSE)</f>
        <v>15387.42</v>
      </c>
      <c r="F862" s="15">
        <v>35000</v>
      </c>
      <c r="G862" s="15">
        <v>13754.24</v>
      </c>
      <c r="H862" s="15">
        <v>11833.31</v>
      </c>
    </row>
    <row r="863" spans="1:8" x14ac:dyDescent="0.15">
      <c r="A863">
        <v>1817950750</v>
      </c>
      <c r="B863" t="s">
        <v>1001</v>
      </c>
      <c r="C863" s="16" t="e">
        <f>VLOOKUP(A863,#REF!,3,FALSE)</f>
        <v>#REF!</v>
      </c>
      <c r="E863" s="15">
        <f>VLOOKUP(A863,'[1]תקציב 2012 נכון להיום'!$A$2:$E$1361,5,FALSE)</f>
        <v>29270</v>
      </c>
      <c r="F863" s="15">
        <v>50000</v>
      </c>
      <c r="G863" s="15">
        <v>47904.29</v>
      </c>
      <c r="H863" s="15">
        <v>20880.009999999998</v>
      </c>
    </row>
    <row r="864" spans="1:8" x14ac:dyDescent="0.15">
      <c r="A864">
        <v>1817950980</v>
      </c>
      <c r="B864" t="s">
        <v>1002</v>
      </c>
      <c r="C864" s="16" t="e">
        <f>VLOOKUP(A864,#REF!,3,FALSE)</f>
        <v>#REF!</v>
      </c>
      <c r="E864" s="15">
        <f>VLOOKUP(A864,'[1]תקציב 2012 נכון להיום'!$A$2:$E$1361,5,FALSE)</f>
        <v>203736.33</v>
      </c>
      <c r="F864" s="15">
        <v>280000</v>
      </c>
      <c r="G864" s="15">
        <v>109161.3</v>
      </c>
      <c r="H864" s="15">
        <v>117910.24</v>
      </c>
    </row>
    <row r="865" spans="1:8" x14ac:dyDescent="0.15">
      <c r="A865">
        <v>1817960430</v>
      </c>
      <c r="B865" t="s">
        <v>1003</v>
      </c>
      <c r="C865" s="16" t="e">
        <f>VLOOKUP(A865,#REF!,3,FALSE)</f>
        <v>#REF!</v>
      </c>
      <c r="E865" s="15">
        <f>VLOOKUP(A865,'[1]תקציב 2012 נכון להיום'!$A$2:$E$1361,5,FALSE)</f>
        <v>7032.96</v>
      </c>
      <c r="F865" s="15">
        <v>8000</v>
      </c>
      <c r="G865" s="15">
        <v>8183.12</v>
      </c>
      <c r="H865" s="15">
        <v>8316.44</v>
      </c>
    </row>
    <row r="866" spans="1:8" x14ac:dyDescent="0.15">
      <c r="A866">
        <v>1817960540</v>
      </c>
      <c r="B866" t="s">
        <v>1004</v>
      </c>
      <c r="C866" s="16" t="e">
        <f>VLOOKUP(A866,#REF!,3,FALSE)</f>
        <v>#REF!</v>
      </c>
      <c r="E866" s="15">
        <f>VLOOKUP(A866,'[1]תקציב 2012 נכון להיום'!$A$2:$E$1361,5,FALSE)</f>
        <v>0</v>
      </c>
      <c r="F866" s="15">
        <v>11000</v>
      </c>
      <c r="G866" s="15">
        <v>1359.84</v>
      </c>
      <c r="H866" s="15">
        <v>5221.03</v>
      </c>
    </row>
    <row r="867" spans="1:8" x14ac:dyDescent="0.15">
      <c r="A867">
        <v>1817960780</v>
      </c>
      <c r="B867" t="s">
        <v>1005</v>
      </c>
      <c r="C867" s="16" t="e">
        <f>VLOOKUP(A867,#REF!,3,FALSE)</f>
        <v>#REF!</v>
      </c>
      <c r="E867" s="15">
        <f>VLOOKUP(A867,'[1]תקציב 2012 נכון להיום'!$A$2:$E$1361,5,FALSE)</f>
        <v>48569.47</v>
      </c>
      <c r="F867" s="15">
        <v>85000</v>
      </c>
      <c r="G867" s="15">
        <v>78729.98</v>
      </c>
      <c r="H867" s="15">
        <v>74877.13</v>
      </c>
    </row>
    <row r="868" spans="1:8" x14ac:dyDescent="0.15">
      <c r="A868">
        <v>1817960781</v>
      </c>
      <c r="B868" t="s">
        <v>1006</v>
      </c>
      <c r="C868" s="16" t="e">
        <f>VLOOKUP(A868,#REF!,3,FALSE)</f>
        <v>#REF!</v>
      </c>
      <c r="E868" s="15">
        <f>VLOOKUP(A868,'[1]תקציב 2012 נכון להיום'!$A$2:$E$1361,5,FALSE)</f>
        <v>11097.08</v>
      </c>
      <c r="F868" s="15">
        <v>30000</v>
      </c>
      <c r="G868" s="15">
        <v>30319.55</v>
      </c>
      <c r="H868" s="15">
        <v>23999.17</v>
      </c>
    </row>
    <row r="869" spans="1:8" x14ac:dyDescent="0.15">
      <c r="A869">
        <v>1819999780</v>
      </c>
      <c r="B869" t="s">
        <v>1007</v>
      </c>
      <c r="C869" s="16" t="e">
        <f>VLOOKUP(A869,#REF!,3,FALSE)</f>
        <v>#REF!</v>
      </c>
      <c r="E869" s="15">
        <f>VLOOKUP(A869,'[1]תקציב 2012 נכון להיום'!$A$2:$E$1361,5,FALSE)</f>
        <v>13000</v>
      </c>
      <c r="F869" s="15">
        <v>48000</v>
      </c>
      <c r="G869" s="15">
        <v>38100</v>
      </c>
      <c r="H869" s="15">
        <v>0</v>
      </c>
    </row>
    <row r="870" spans="1:8" x14ac:dyDescent="0.15">
      <c r="C870" s="16" t="e">
        <f>VLOOKUP(A870,#REF!,3,FALSE)</f>
        <v>#REF!</v>
      </c>
    </row>
    <row r="871" spans="1:8" x14ac:dyDescent="0.15">
      <c r="C871" s="16" t="e">
        <f>VLOOKUP(A871,#REF!,3,FALSE)</f>
        <v>#REF!</v>
      </c>
    </row>
    <row r="872" spans="1:8" x14ac:dyDescent="0.15">
      <c r="C872" s="16" t="e">
        <f>VLOOKUP(A872,#REF!,3,FALSE)</f>
        <v>#REF!</v>
      </c>
    </row>
    <row r="873" spans="1:8" x14ac:dyDescent="0.15">
      <c r="A873" t="s">
        <v>1009</v>
      </c>
      <c r="B873" t="s">
        <v>1010</v>
      </c>
      <c r="C873" s="16" t="e">
        <f>VLOOKUP(A873,#REF!,3,FALSE)</f>
        <v>#REF!</v>
      </c>
    </row>
    <row r="874" spans="1:8" x14ac:dyDescent="0.15">
      <c r="A874">
        <v>1841000110</v>
      </c>
      <c r="B874" t="s">
        <v>401</v>
      </c>
      <c r="C874" s="16" t="e">
        <f>VLOOKUP(A874,#REF!,3,FALSE)</f>
        <v>#REF!</v>
      </c>
      <c r="E874" s="15">
        <f>VLOOKUP(A874,'[1]תקציב 2012 נכון להיום'!$A$2:$E$1361,5,FALSE)</f>
        <v>5223400.63</v>
      </c>
      <c r="F874" s="15">
        <v>6419325</v>
      </c>
      <c r="G874" s="15">
        <v>5991766.1299999999</v>
      </c>
      <c r="H874" s="15">
        <v>5430876.3700000001</v>
      </c>
    </row>
    <row r="875" spans="1:8" x14ac:dyDescent="0.15">
      <c r="A875">
        <v>1841000210</v>
      </c>
      <c r="B875" t="s">
        <v>1011</v>
      </c>
      <c r="C875" s="16" t="e">
        <f>VLOOKUP(A875,#REF!,3,FALSE)</f>
        <v>#REF!</v>
      </c>
      <c r="E875" s="15">
        <f>VLOOKUP(A875,'[1]תקציב 2012 נכון להיום'!$A$2:$E$1361,5,FALSE)</f>
        <v>91705.44</v>
      </c>
      <c r="F875" s="15">
        <v>333003</v>
      </c>
      <c r="G875" s="15">
        <v>110690.02</v>
      </c>
      <c r="H875" s="15">
        <v>108350.06</v>
      </c>
    </row>
    <row r="876" spans="1:8" x14ac:dyDescent="0.15">
      <c r="A876">
        <v>1843800110</v>
      </c>
      <c r="B876" t="s">
        <v>1012</v>
      </c>
      <c r="C876" s="16" t="e">
        <f>VLOOKUP(A876,#REF!,3,FALSE)</f>
        <v>#REF!</v>
      </c>
      <c r="E876" s="15">
        <f>VLOOKUP(A876,'[1]תקציב 2012 נכון להיום'!$A$2:$E$1361,5,FALSE)</f>
        <v>63852.87</v>
      </c>
      <c r="F876" s="15">
        <v>243580</v>
      </c>
      <c r="G876" s="15">
        <v>13981.37</v>
      </c>
      <c r="H876" s="15">
        <v>159145.79</v>
      </c>
    </row>
    <row r="877" spans="1:8" x14ac:dyDescent="0.15">
      <c r="A877">
        <v>1845200110</v>
      </c>
      <c r="B877" t="s">
        <v>1013</v>
      </c>
      <c r="C877" s="16" t="e">
        <f>VLOOKUP(A877,#REF!,3,FALSE)</f>
        <v>#REF!</v>
      </c>
      <c r="E877" s="15">
        <f>VLOOKUP(A877,'[1]תקציב 2012 נכון להיום'!$A$2:$E$1361,5,FALSE)</f>
        <v>58541.16</v>
      </c>
      <c r="F877" s="15">
        <v>70894</v>
      </c>
      <c r="G877" s="15">
        <v>69608.399999999994</v>
      </c>
      <c r="H877" s="15">
        <v>78961.03</v>
      </c>
    </row>
    <row r="878" spans="1:8" x14ac:dyDescent="0.15">
      <c r="A878">
        <v>1845200210</v>
      </c>
      <c r="B878" t="s">
        <v>1014</v>
      </c>
      <c r="C878" s="16" t="e">
        <f>VLOOKUP(A878,#REF!,3,FALSE)</f>
        <v>#REF!</v>
      </c>
      <c r="E878" s="15">
        <f>VLOOKUP(A878,'[1]תקציב 2012 נכון להיום'!$A$2:$E$1361,5,FALSE)</f>
        <v>116393.9</v>
      </c>
      <c r="F878" s="15">
        <v>133001</v>
      </c>
      <c r="G878" s="15">
        <v>128949.99</v>
      </c>
      <c r="H878" s="15">
        <v>73325.2</v>
      </c>
    </row>
    <row r="879" spans="1:8" x14ac:dyDescent="0.15">
      <c r="A879">
        <v>1847401110</v>
      </c>
      <c r="B879" t="s">
        <v>1015</v>
      </c>
      <c r="C879" s="16" t="e">
        <f>VLOOKUP(A879,#REF!,3,FALSE)</f>
        <v>#REF!</v>
      </c>
      <c r="E879" s="15">
        <f>VLOOKUP(A879,'[1]תקציב 2012 נכון להיום'!$A$2:$E$1361,5,FALSE)</f>
        <v>156787.67000000001</v>
      </c>
      <c r="F879" s="15">
        <v>191303</v>
      </c>
      <c r="G879" s="15">
        <v>194109.58</v>
      </c>
      <c r="H879" s="15">
        <v>174829.83</v>
      </c>
    </row>
    <row r="880" spans="1:8" x14ac:dyDescent="0.15">
      <c r="A880">
        <v>1847402110</v>
      </c>
      <c r="B880" t="s">
        <v>1016</v>
      </c>
      <c r="C880" s="16" t="e">
        <f>VLOOKUP(A880,#REF!,3,FALSE)</f>
        <v>#REF!</v>
      </c>
      <c r="E880" s="15">
        <f>VLOOKUP(A880,'[1]תקציב 2012 נכון להיום'!$A$2:$E$1361,5,FALSE)</f>
        <v>79830.62</v>
      </c>
      <c r="F880" s="15">
        <v>129238</v>
      </c>
      <c r="G880" s="15">
        <v>85419.83</v>
      </c>
      <c r="H880" s="15">
        <v>85018.26</v>
      </c>
    </row>
    <row r="881" spans="1:8" x14ac:dyDescent="0.15">
      <c r="A881">
        <v>1847404110</v>
      </c>
      <c r="B881" t="s">
        <v>1017</v>
      </c>
      <c r="C881" s="16" t="e">
        <f>VLOOKUP(A881,#REF!,3,FALSE)</f>
        <v>#REF!</v>
      </c>
      <c r="E881" s="15">
        <f>VLOOKUP(A881,'[1]תקציב 2012 נכון להיום'!$A$2:$E$1361,5,FALSE)</f>
        <v>77903.179999999993</v>
      </c>
      <c r="F881" s="15">
        <v>100100</v>
      </c>
      <c r="G881" s="15">
        <v>99924.51</v>
      </c>
      <c r="H881" s="15">
        <v>67011.13</v>
      </c>
    </row>
    <row r="882" spans="1:8" x14ac:dyDescent="0.15">
      <c r="A882">
        <v>1847405110</v>
      </c>
      <c r="B882" t="s">
        <v>1018</v>
      </c>
      <c r="C882" s="16" t="e">
        <f>VLOOKUP(A882,#REF!,3,FALSE)</f>
        <v>#REF!</v>
      </c>
      <c r="E882" s="15">
        <f>VLOOKUP(A882,'[1]תקציב 2012 נכון להיום'!$A$2:$E$1361,5,FALSE)</f>
        <v>83623.960000000006</v>
      </c>
      <c r="F882" s="15">
        <v>104036</v>
      </c>
      <c r="G882" s="15">
        <v>103377.09</v>
      </c>
      <c r="H882" s="15">
        <v>94241.03</v>
      </c>
    </row>
    <row r="883" spans="1:8" x14ac:dyDescent="0.15">
      <c r="A883">
        <v>1847411110</v>
      </c>
      <c r="B883" t="s">
        <v>1019</v>
      </c>
      <c r="C883" s="16" t="e">
        <f>VLOOKUP(A883,#REF!,3,FALSE)</f>
        <v>#REF!</v>
      </c>
      <c r="E883" s="15">
        <f>VLOOKUP(A883,'[1]תקציב 2012 נכון להיום'!$A$2:$E$1361,5,FALSE)</f>
        <v>68627.77</v>
      </c>
      <c r="F883" s="15">
        <v>70875</v>
      </c>
      <c r="G883" s="15">
        <v>70985.98</v>
      </c>
      <c r="H883" s="15">
        <v>47231.42</v>
      </c>
    </row>
    <row r="884" spans="1:8" x14ac:dyDescent="0.15">
      <c r="A884">
        <v>1847428110</v>
      </c>
      <c r="B884" t="s">
        <v>919</v>
      </c>
      <c r="C884" s="16" t="e">
        <f>VLOOKUP(A884,#REF!,3,FALSE)</f>
        <v>#REF!</v>
      </c>
      <c r="E884" s="15">
        <f>VLOOKUP(A884,'[1]תקציב 2012 נכון להיום'!$A$2:$E$1361,5,FALSE)</f>
        <v>323575.13</v>
      </c>
      <c r="F884" s="15">
        <v>446884</v>
      </c>
      <c r="G884" s="15">
        <v>382153.31</v>
      </c>
      <c r="H884" s="15">
        <v>232121.22</v>
      </c>
    </row>
    <row r="885" spans="1:8" x14ac:dyDescent="0.15">
      <c r="A885">
        <v>1848800110</v>
      </c>
      <c r="B885" t="s">
        <v>523</v>
      </c>
      <c r="C885" s="16" t="e">
        <f>VLOOKUP(A885,#REF!,3,FALSE)</f>
        <v>#REF!</v>
      </c>
      <c r="E885" s="15">
        <f>VLOOKUP(A885,'[1]תקציב 2012 נכון להיום'!$A$2:$E$1361,5,FALSE)</f>
        <v>1038659.73</v>
      </c>
      <c r="F885" s="15">
        <v>1305415</v>
      </c>
      <c r="G885" s="15">
        <v>1164724.95</v>
      </c>
      <c r="H885" s="15">
        <v>1138739.68</v>
      </c>
    </row>
    <row r="886" spans="1:8" x14ac:dyDescent="0.15">
      <c r="A886">
        <v>1848801210</v>
      </c>
      <c r="B886" t="s">
        <v>1020</v>
      </c>
      <c r="C886" s="16" t="e">
        <f>VLOOKUP(A886,#REF!,3,FALSE)</f>
        <v>#REF!</v>
      </c>
      <c r="E886" s="15">
        <f>VLOOKUP(A886,'[1]תקציב 2012 נכון להיום'!$A$2:$E$1361,5,FALSE)</f>
        <v>23208.27</v>
      </c>
      <c r="F886" s="15">
        <v>30244</v>
      </c>
      <c r="G886" s="15">
        <v>12940.13</v>
      </c>
      <c r="H886" s="15">
        <v>0</v>
      </c>
    </row>
    <row r="887" spans="1:8" x14ac:dyDescent="0.15">
      <c r="C887" s="16" t="e">
        <f>VLOOKUP(A887,#REF!,3,FALSE)</f>
        <v>#REF!</v>
      </c>
    </row>
    <row r="888" spans="1:8" x14ac:dyDescent="0.15">
      <c r="A888" t="s">
        <v>1021</v>
      </c>
      <c r="B888" t="s">
        <v>1022</v>
      </c>
      <c r="C888" s="16" t="e">
        <f>VLOOKUP(A888,#REF!,3,FALSE)</f>
        <v>#REF!</v>
      </c>
    </row>
    <row r="889" spans="1:8" x14ac:dyDescent="0.15">
      <c r="A889">
        <v>1840000910</v>
      </c>
      <c r="B889" t="s">
        <v>741</v>
      </c>
      <c r="C889" s="16" t="e">
        <f>VLOOKUP(A889,#REF!,3,FALSE)</f>
        <v>#REF!</v>
      </c>
      <c r="E889" s="15">
        <f>VLOOKUP(A889,'[1]תקציב 2012 נכון להיום'!$A$2:$E$1361,5,FALSE)</f>
        <v>15000</v>
      </c>
      <c r="F889" s="15">
        <v>35000</v>
      </c>
      <c r="G889" s="15">
        <v>17074</v>
      </c>
      <c r="H889" s="15">
        <v>16734</v>
      </c>
    </row>
    <row r="890" spans="1:8" x14ac:dyDescent="0.15">
      <c r="A890">
        <v>1841000511</v>
      </c>
      <c r="B890" t="s">
        <v>790</v>
      </c>
      <c r="C890" s="16" t="e">
        <f>VLOOKUP(A890,#REF!,3,FALSE)</f>
        <v>#REF!</v>
      </c>
      <c r="E890" s="15">
        <f>VLOOKUP(A890,'[1]תקציב 2012 נכון להיום'!$A$2:$E$1361,5,FALSE)</f>
        <v>6212.73</v>
      </c>
      <c r="F890" s="15">
        <v>9800</v>
      </c>
      <c r="G890" s="15">
        <v>0</v>
      </c>
      <c r="H890" s="15">
        <v>0</v>
      </c>
    </row>
    <row r="891" spans="1:8" x14ac:dyDescent="0.15">
      <c r="A891">
        <v>1841000560</v>
      </c>
      <c r="B891" t="s">
        <v>966</v>
      </c>
      <c r="C891" s="16" t="e">
        <f>VLOOKUP(A891,#REF!,3,FALSE)</f>
        <v>#REF!</v>
      </c>
      <c r="E891" s="15">
        <f>VLOOKUP(A891,'[1]תקציב 2012 נכון להיום'!$A$2:$E$1361,5,FALSE)</f>
        <v>11184.52</v>
      </c>
      <c r="F891" s="15">
        <v>15000</v>
      </c>
      <c r="G891" s="15">
        <v>7295</v>
      </c>
      <c r="H891" s="15">
        <v>9613.27</v>
      </c>
    </row>
    <row r="892" spans="1:8" x14ac:dyDescent="0.15">
      <c r="A892">
        <v>1841000570</v>
      </c>
      <c r="B892" t="s">
        <v>1023</v>
      </c>
      <c r="C892" s="16" t="e">
        <f>VLOOKUP(A892,#REF!,3,FALSE)</f>
        <v>#REF!</v>
      </c>
      <c r="E892" s="15">
        <f>VLOOKUP(A892,'[1]תקציב 2012 נכון להיום'!$A$2:$E$1361,5,FALSE)</f>
        <v>10244.9</v>
      </c>
      <c r="F892" s="15">
        <v>13980</v>
      </c>
      <c r="G892" s="15">
        <v>14990.89</v>
      </c>
      <c r="H892" s="15">
        <v>15085</v>
      </c>
    </row>
    <row r="893" spans="1:8" x14ac:dyDescent="0.15">
      <c r="A893">
        <v>1841000571</v>
      </c>
      <c r="B893" t="s">
        <v>590</v>
      </c>
      <c r="C893" s="16" t="e">
        <f>VLOOKUP(A893,#REF!,3,FALSE)</f>
        <v>#REF!</v>
      </c>
      <c r="E893" s="15">
        <f>VLOOKUP(A893,'[1]תקציב 2012 נכון להיום'!$A$2:$E$1361,5,FALSE)</f>
        <v>0</v>
      </c>
      <c r="F893" s="15">
        <v>2587</v>
      </c>
      <c r="G893" s="15">
        <v>0</v>
      </c>
      <c r="H893" s="15">
        <v>0</v>
      </c>
    </row>
    <row r="894" spans="1:8" x14ac:dyDescent="0.15">
      <c r="A894">
        <v>1841000580</v>
      </c>
      <c r="B894" t="s">
        <v>835</v>
      </c>
      <c r="C894" s="16" t="e">
        <f>VLOOKUP(A894,#REF!,3,FALSE)</f>
        <v>#REF!</v>
      </c>
      <c r="E894" s="15">
        <f>VLOOKUP(A894,'[1]תקציב 2012 נכון להיום'!$A$2:$E$1361,5,FALSE)</f>
        <v>49849.7</v>
      </c>
      <c r="F894" s="15">
        <v>69015</v>
      </c>
      <c r="G894" s="15">
        <v>100278.55</v>
      </c>
      <c r="H894" s="15">
        <v>66414.679999999993</v>
      </c>
    </row>
    <row r="895" spans="1:8" x14ac:dyDescent="0.15">
      <c r="A895">
        <v>1841000750</v>
      </c>
      <c r="B895" t="s">
        <v>1024</v>
      </c>
      <c r="C895" s="16" t="e">
        <f>VLOOKUP(A895,#REF!,3,FALSE)</f>
        <v>#REF!</v>
      </c>
      <c r="E895" s="15">
        <f>VLOOKUP(A895,'[1]תקציב 2012 נכון להיום'!$A$2:$E$1361,5,FALSE)</f>
        <v>82356</v>
      </c>
      <c r="F895" s="15">
        <v>97000</v>
      </c>
      <c r="G895" s="15">
        <v>92575</v>
      </c>
      <c r="H895" s="15">
        <v>88440</v>
      </c>
    </row>
    <row r="896" spans="1:8" x14ac:dyDescent="0.15">
      <c r="A896">
        <v>1841000843</v>
      </c>
      <c r="B896" t="s">
        <v>402</v>
      </c>
      <c r="C896" s="16" t="e">
        <f>VLOOKUP(A896,#REF!,3,FALSE)</f>
        <v>#REF!</v>
      </c>
      <c r="E896" s="15">
        <f>VLOOKUP(A896,'[1]תקציב 2012 נכון להיום'!$A$2:$E$1361,5,FALSE)</f>
        <v>20000</v>
      </c>
      <c r="F896" s="15">
        <v>20000</v>
      </c>
      <c r="G896" s="15">
        <v>1809.6</v>
      </c>
      <c r="H896" s="15">
        <v>1440</v>
      </c>
    </row>
    <row r="897" spans="1:8" x14ac:dyDescent="0.15">
      <c r="A897">
        <v>1841000846</v>
      </c>
      <c r="B897" t="s">
        <v>404</v>
      </c>
      <c r="C897" s="16" t="e">
        <f>VLOOKUP(A897,#REF!,3,FALSE)</f>
        <v>#REF!</v>
      </c>
      <c r="E897" s="15">
        <f>VLOOKUP(A897,'[1]תקציב 2012 נכון להיום'!$A$2:$E$1361,5,FALSE)</f>
        <v>6955.88</v>
      </c>
      <c r="F897" s="15">
        <v>22000</v>
      </c>
      <c r="G897" s="15">
        <v>8299.4500000000007</v>
      </c>
      <c r="H897" s="15">
        <v>11823.2</v>
      </c>
    </row>
    <row r="898" spans="1:8" x14ac:dyDescent="0.15">
      <c r="A898">
        <v>1841000910</v>
      </c>
      <c r="B898" t="s">
        <v>704</v>
      </c>
      <c r="C898" s="16" t="e">
        <f>VLOOKUP(A898,#REF!,3,FALSE)</f>
        <v>#REF!</v>
      </c>
      <c r="E898" s="15">
        <f>VLOOKUP(A898,'[1]תקציב 2012 נכון להיום'!$A$2:$E$1361,5,FALSE)</f>
        <v>67297</v>
      </c>
      <c r="F898" s="15">
        <v>67297</v>
      </c>
      <c r="G898" s="15">
        <v>0</v>
      </c>
      <c r="H898" s="15">
        <v>37610</v>
      </c>
    </row>
    <row r="899" spans="1:8" x14ac:dyDescent="0.15">
      <c r="A899">
        <v>1841000980</v>
      </c>
      <c r="B899" t="s">
        <v>652</v>
      </c>
      <c r="C899" s="16" t="e">
        <f>VLOOKUP(A899,#REF!,3,FALSE)</f>
        <v>#REF!</v>
      </c>
      <c r="E899" s="15">
        <f>VLOOKUP(A899,'[1]תקציב 2012 נכון להיום'!$A$2:$E$1361,5,FALSE)</f>
        <v>247207.86</v>
      </c>
      <c r="F899" s="15">
        <v>222935</v>
      </c>
      <c r="G899" s="15">
        <v>114119.69</v>
      </c>
      <c r="H899" s="15">
        <v>46388.23</v>
      </c>
    </row>
    <row r="900" spans="1:8" x14ac:dyDescent="0.15">
      <c r="A900">
        <v>1841100750</v>
      </c>
      <c r="B900" t="s">
        <v>714</v>
      </c>
      <c r="C900" s="16" t="e">
        <f>VLOOKUP(A900,#REF!,3,FALSE)</f>
        <v>#REF!</v>
      </c>
      <c r="E900" s="15">
        <f>VLOOKUP(A900,'[1]תקציב 2012 נכון להיום'!$A$2:$E$1361,5,FALSE)</f>
        <v>112608</v>
      </c>
      <c r="F900" s="15">
        <v>150000</v>
      </c>
      <c r="G900" s="15">
        <v>150000</v>
      </c>
      <c r="H900" s="15">
        <v>118320</v>
      </c>
    </row>
    <row r="901" spans="1:8" x14ac:dyDescent="0.15">
      <c r="A901">
        <v>1842200840</v>
      </c>
      <c r="B901" t="s">
        <v>406</v>
      </c>
      <c r="C901" s="16" t="e">
        <f>VLOOKUP(A901,#REF!,3,FALSE)</f>
        <v>#REF!</v>
      </c>
      <c r="E901" s="15">
        <f>VLOOKUP(A901,'[1]תקציב 2012 נכון להיום'!$A$2:$E$1361,5,FALSE)</f>
        <v>103118.99</v>
      </c>
      <c r="F901" s="15">
        <v>163600</v>
      </c>
      <c r="G901" s="15">
        <v>177772</v>
      </c>
      <c r="H901" s="15">
        <v>171640.44</v>
      </c>
    </row>
    <row r="902" spans="1:8" x14ac:dyDescent="0.15">
      <c r="A902">
        <v>1842200842</v>
      </c>
      <c r="B902" t="s">
        <v>1025</v>
      </c>
      <c r="C902" s="16" t="e">
        <f>VLOOKUP(A902,#REF!,3,FALSE)</f>
        <v>#REF!</v>
      </c>
      <c r="E902" s="15">
        <f>VLOOKUP(A902,'[1]תקציב 2012 נכון להיום'!$A$2:$E$1361,5,FALSE)</f>
        <v>0</v>
      </c>
      <c r="F902" s="15">
        <v>3467</v>
      </c>
      <c r="G902" s="15">
        <v>9272</v>
      </c>
      <c r="H902" s="15">
        <v>1850</v>
      </c>
    </row>
    <row r="903" spans="1:8" x14ac:dyDescent="0.15">
      <c r="A903">
        <v>1842200843</v>
      </c>
      <c r="B903" t="s">
        <v>407</v>
      </c>
      <c r="C903" s="16" t="e">
        <f>VLOOKUP(A903,#REF!,3,FALSE)</f>
        <v>#REF!</v>
      </c>
      <c r="E903" s="15">
        <f>VLOOKUP(A903,'[1]תקציב 2012 נכון להיום'!$A$2:$E$1361,5,FALSE)</f>
        <v>162564</v>
      </c>
      <c r="F903" s="15">
        <v>150000</v>
      </c>
      <c r="G903" s="15">
        <v>161862</v>
      </c>
      <c r="H903" s="15">
        <v>143987</v>
      </c>
    </row>
    <row r="904" spans="1:8" x14ac:dyDescent="0.15">
      <c r="A904">
        <v>1842200844</v>
      </c>
      <c r="B904" t="s">
        <v>1026</v>
      </c>
      <c r="C904" s="16" t="e">
        <f>VLOOKUP(A904,#REF!,3,FALSE)</f>
        <v>#REF!</v>
      </c>
      <c r="E904" s="15">
        <f>VLOOKUP(A904,'[1]תקציב 2012 נכון להיום'!$A$2:$E$1361,5,FALSE)</f>
        <v>0</v>
      </c>
      <c r="F904" s="15">
        <v>2000</v>
      </c>
      <c r="G904" s="15">
        <v>11353</v>
      </c>
      <c r="H904" s="15">
        <v>0</v>
      </c>
    </row>
    <row r="905" spans="1:8" x14ac:dyDescent="0.15">
      <c r="A905">
        <v>1842200846</v>
      </c>
      <c r="B905" t="s">
        <v>409</v>
      </c>
      <c r="C905" s="16" t="e">
        <f>VLOOKUP(A905,#REF!,3,FALSE)</f>
        <v>#REF!</v>
      </c>
      <c r="E905" s="15">
        <f>VLOOKUP(A905,'[1]תקציב 2012 נכון להיום'!$A$2:$E$1361,5,FALSE)</f>
        <v>208846</v>
      </c>
      <c r="F905" s="15">
        <v>150000</v>
      </c>
      <c r="G905" s="15">
        <v>67068</v>
      </c>
      <c r="H905" s="15">
        <v>399452</v>
      </c>
    </row>
    <row r="906" spans="1:8" x14ac:dyDescent="0.15">
      <c r="A906">
        <v>1842400841</v>
      </c>
      <c r="B906" t="s">
        <v>410</v>
      </c>
      <c r="C906" s="16" t="e">
        <f>VLOOKUP(A906,#REF!,3,FALSE)</f>
        <v>#REF!</v>
      </c>
      <c r="E906" s="15">
        <f>VLOOKUP(A906,'[1]תקציב 2012 נכון להיום'!$A$2:$E$1361,5,FALSE)</f>
        <v>692</v>
      </c>
      <c r="F906" s="15">
        <v>12000</v>
      </c>
      <c r="G906" s="15">
        <v>9555</v>
      </c>
      <c r="H906" s="15">
        <v>0</v>
      </c>
    </row>
    <row r="907" spans="1:8" x14ac:dyDescent="0.15">
      <c r="A907">
        <v>1842400844</v>
      </c>
      <c r="B907" t="s">
        <v>1027</v>
      </c>
      <c r="C907" s="16" t="e">
        <f>VLOOKUP(A907,#REF!,3,FALSE)</f>
        <v>#REF!</v>
      </c>
      <c r="E907" s="15">
        <f>VLOOKUP(A907,'[1]תקציב 2012 נכון להיום'!$A$2:$E$1361,5,FALSE)</f>
        <v>0</v>
      </c>
      <c r="F907" s="15">
        <v>12000</v>
      </c>
      <c r="G907" s="15">
        <v>5992.56</v>
      </c>
      <c r="H907" s="15">
        <v>0</v>
      </c>
    </row>
    <row r="908" spans="1:8" x14ac:dyDescent="0.15">
      <c r="A908">
        <v>1842400845</v>
      </c>
      <c r="B908" t="s">
        <v>411</v>
      </c>
      <c r="C908" s="16" t="e">
        <f>VLOOKUP(A908,#REF!,3,FALSE)</f>
        <v>#REF!</v>
      </c>
      <c r="E908" s="15">
        <f>VLOOKUP(A908,'[1]תקציב 2012 נכון להיום'!$A$2:$E$1361,5,FALSE)</f>
        <v>31740.71</v>
      </c>
      <c r="F908" s="15">
        <v>50000</v>
      </c>
      <c r="G908" s="15">
        <v>30375.88</v>
      </c>
      <c r="H908" s="15">
        <v>25832.799999999999</v>
      </c>
    </row>
    <row r="909" spans="1:8" x14ac:dyDescent="0.15">
      <c r="A909">
        <v>1842401840</v>
      </c>
      <c r="B909" t="s">
        <v>412</v>
      </c>
      <c r="C909" s="16" t="e">
        <f>VLOOKUP(A909,#REF!,3,FALSE)</f>
        <v>#REF!</v>
      </c>
      <c r="E909" s="15">
        <f>VLOOKUP(A909,'[1]תקציב 2012 נכון להיום'!$A$2:$E$1361,5,FALSE)</f>
        <v>180000</v>
      </c>
      <c r="F909" s="15">
        <v>180000</v>
      </c>
      <c r="G909" s="15">
        <v>181102</v>
      </c>
      <c r="H909" s="15">
        <v>180000</v>
      </c>
    </row>
    <row r="910" spans="1:8" x14ac:dyDescent="0.15">
      <c r="A910">
        <v>1843500841</v>
      </c>
      <c r="B910" t="s">
        <v>413</v>
      </c>
      <c r="C910" s="16" t="e">
        <f>VLOOKUP(A910,#REF!,3,FALSE)</f>
        <v>#REF!</v>
      </c>
      <c r="E910" s="15">
        <f>VLOOKUP(A910,'[1]תקציב 2012 נכון להיום'!$A$2:$E$1361,5,FALSE)</f>
        <v>208978</v>
      </c>
      <c r="F910" s="15">
        <v>201200</v>
      </c>
      <c r="G910" s="15">
        <v>196772</v>
      </c>
      <c r="H910" s="15">
        <v>221058</v>
      </c>
    </row>
    <row r="911" spans="1:8" x14ac:dyDescent="0.15">
      <c r="A911">
        <v>1843500842</v>
      </c>
      <c r="B911" t="s">
        <v>414</v>
      </c>
      <c r="C911" s="16" t="e">
        <f>VLOOKUP(A911,#REF!,3,FALSE)</f>
        <v>#REF!</v>
      </c>
      <c r="E911" s="15">
        <f>VLOOKUP(A911,'[1]תקציב 2012 נכון להיום'!$A$2:$E$1361,5,FALSE)</f>
        <v>495171</v>
      </c>
      <c r="F911" s="15">
        <v>622133</v>
      </c>
      <c r="G911" s="15">
        <v>646500.4</v>
      </c>
      <c r="H911" s="15">
        <v>527879.19999999995</v>
      </c>
    </row>
    <row r="912" spans="1:8" x14ac:dyDescent="0.15">
      <c r="A912">
        <v>1843500844</v>
      </c>
      <c r="B912" t="s">
        <v>415</v>
      </c>
      <c r="C912" s="16" t="e">
        <f>VLOOKUP(A912,#REF!,3,FALSE)</f>
        <v>#REF!</v>
      </c>
      <c r="E912" s="15">
        <f>VLOOKUP(A912,'[1]תקציב 2012 נכון להיום'!$A$2:$E$1361,5,FALSE)</f>
        <v>10283</v>
      </c>
      <c r="F912" s="15">
        <v>60000</v>
      </c>
      <c r="G912" s="15">
        <v>63934.99</v>
      </c>
      <c r="H912" s="15">
        <v>76071.460000000006</v>
      </c>
    </row>
    <row r="913" spans="1:8" x14ac:dyDescent="0.15">
      <c r="A913">
        <v>1843500845</v>
      </c>
      <c r="B913" t="s">
        <v>416</v>
      </c>
      <c r="C913" s="16" t="e">
        <f>VLOOKUP(A913,#REF!,3,FALSE)</f>
        <v>#REF!</v>
      </c>
      <c r="E913" s="15">
        <f>VLOOKUP(A913,'[1]תקציב 2012 נכון להיום'!$A$2:$E$1361,5,FALSE)</f>
        <v>70480.240000000005</v>
      </c>
      <c r="F913" s="15">
        <v>133817</v>
      </c>
      <c r="G913" s="15">
        <v>93887.28</v>
      </c>
      <c r="H913" s="15">
        <v>45427.41</v>
      </c>
    </row>
    <row r="914" spans="1:8" x14ac:dyDescent="0.15">
      <c r="A914">
        <v>1843500847</v>
      </c>
      <c r="B914" t="s">
        <v>417</v>
      </c>
      <c r="C914" s="16" t="e">
        <f>VLOOKUP(A914,#REF!,3,FALSE)</f>
        <v>#REF!</v>
      </c>
      <c r="E914" s="15">
        <f>VLOOKUP(A914,'[1]תקציב 2012 נכון להיום'!$A$2:$E$1361,5,FALSE)</f>
        <v>7641</v>
      </c>
      <c r="F914" s="15">
        <v>11145</v>
      </c>
      <c r="G914" s="15">
        <v>7616.01</v>
      </c>
      <c r="H914" s="15">
        <v>13795</v>
      </c>
    </row>
    <row r="915" spans="1:8" x14ac:dyDescent="0.15">
      <c r="A915">
        <v>1843500849</v>
      </c>
      <c r="B915" t="s">
        <v>418</v>
      </c>
      <c r="C915" s="16" t="e">
        <f>VLOOKUP(A915,#REF!,3,FALSE)</f>
        <v>#REF!</v>
      </c>
      <c r="E915" s="15">
        <f>VLOOKUP(A915,'[1]תקציב 2012 נכון להיום'!$A$2:$E$1361,5,FALSE)</f>
        <v>27328</v>
      </c>
      <c r="F915" s="15">
        <v>30000</v>
      </c>
      <c r="G915" s="15">
        <v>12000</v>
      </c>
      <c r="H915" s="15">
        <v>30000</v>
      </c>
    </row>
    <row r="916" spans="1:8" x14ac:dyDescent="0.15">
      <c r="A916">
        <v>1843800840</v>
      </c>
      <c r="B916" t="s">
        <v>419</v>
      </c>
      <c r="C916" s="16" t="e">
        <f>VLOOKUP(A916,#REF!,3,FALSE)</f>
        <v>#REF!</v>
      </c>
      <c r="E916" s="15">
        <f>VLOOKUP(A916,'[1]תקציב 2012 נכון להיום'!$A$2:$E$1361,5,FALSE)</f>
        <v>3108490</v>
      </c>
      <c r="F916" s="15">
        <v>3427080</v>
      </c>
      <c r="G916" s="15">
        <v>3402877</v>
      </c>
      <c r="H916" s="15">
        <v>3191102</v>
      </c>
    </row>
    <row r="917" spans="1:8" x14ac:dyDescent="0.15">
      <c r="A917">
        <v>1843800845</v>
      </c>
      <c r="B917" t="s">
        <v>420</v>
      </c>
      <c r="C917" s="16" t="e">
        <f>VLOOKUP(A917,#REF!,3,FALSE)</f>
        <v>#REF!</v>
      </c>
      <c r="E917" s="15">
        <f>VLOOKUP(A917,'[1]תקציב 2012 נכון להיום'!$A$2:$E$1361,5,FALSE)</f>
        <v>231120</v>
      </c>
      <c r="F917" s="15">
        <v>231421</v>
      </c>
      <c r="G917" s="15">
        <v>338400</v>
      </c>
      <c r="H917" s="15">
        <v>296224</v>
      </c>
    </row>
    <row r="918" spans="1:8" x14ac:dyDescent="0.15">
      <c r="A918">
        <v>1843900840</v>
      </c>
      <c r="B918" t="s">
        <v>421</v>
      </c>
      <c r="C918" s="16" t="e">
        <f>VLOOKUP(A918,#REF!,3,FALSE)</f>
        <v>#REF!</v>
      </c>
      <c r="E918" s="15">
        <f>VLOOKUP(A918,'[1]תקציב 2012 נכון להיום'!$A$2:$E$1361,5,FALSE)</f>
        <v>1882609</v>
      </c>
      <c r="F918" s="15">
        <v>2237830</v>
      </c>
      <c r="G918" s="15">
        <v>2384103</v>
      </c>
      <c r="H918" s="15">
        <v>2227675</v>
      </c>
    </row>
    <row r="919" spans="1:8" x14ac:dyDescent="0.15">
      <c r="A919">
        <v>1844000430</v>
      </c>
      <c r="B919" t="s">
        <v>1028</v>
      </c>
      <c r="C919" s="16" t="e">
        <f>VLOOKUP(A919,#REF!,3,FALSE)</f>
        <v>#REF!</v>
      </c>
      <c r="E919" s="15">
        <f>VLOOKUP(A919,'[1]תקציב 2012 נכון להיום'!$A$2:$E$1361,5,FALSE)</f>
        <v>535.61</v>
      </c>
      <c r="F919" s="15">
        <v>17000</v>
      </c>
      <c r="G919" s="15">
        <v>17311.919999999998</v>
      </c>
      <c r="H919" s="15">
        <v>8049.7</v>
      </c>
    </row>
    <row r="920" spans="1:8" x14ac:dyDescent="0.15">
      <c r="A920">
        <v>1844300840</v>
      </c>
      <c r="B920" t="s">
        <v>300</v>
      </c>
      <c r="C920" s="16" t="e">
        <f>VLOOKUP(A920,#REF!,3,FALSE)</f>
        <v>#REF!</v>
      </c>
      <c r="E920" s="15">
        <f>VLOOKUP(A920,'[1]תקציב 2012 נכון להיום'!$A$2:$E$1361,5,FALSE)</f>
        <v>3621506</v>
      </c>
      <c r="F920" s="15">
        <v>4536400</v>
      </c>
      <c r="G920" s="15">
        <v>4488807</v>
      </c>
      <c r="H920" s="15">
        <v>4044622</v>
      </c>
    </row>
    <row r="921" spans="1:8" x14ac:dyDescent="0.15">
      <c r="A921">
        <v>1844400780</v>
      </c>
      <c r="B921" t="s">
        <v>1029</v>
      </c>
      <c r="C921" s="16" t="e">
        <f>VLOOKUP(A921,#REF!,3,FALSE)</f>
        <v>#REF!</v>
      </c>
      <c r="E921" s="15">
        <f>VLOOKUP(A921,'[1]תקציב 2012 נכון להיום'!$A$2:$E$1361,5,FALSE)</f>
        <v>75000</v>
      </c>
      <c r="F921" s="15">
        <v>75000</v>
      </c>
      <c r="G921" s="15">
        <v>75000</v>
      </c>
      <c r="H921" s="15">
        <v>65801</v>
      </c>
    </row>
    <row r="922" spans="1:8" x14ac:dyDescent="0.15">
      <c r="A922">
        <v>1844400842</v>
      </c>
      <c r="B922" t="s">
        <v>423</v>
      </c>
      <c r="C922" s="16" t="e">
        <f>VLOOKUP(A922,#REF!,3,FALSE)</f>
        <v>#REF!</v>
      </c>
      <c r="E922" s="15">
        <f>VLOOKUP(A922,'[1]תקציב 2012 נכון להיום'!$A$2:$E$1361,5,FALSE)</f>
        <v>87005</v>
      </c>
      <c r="F922" s="15">
        <v>105333</v>
      </c>
      <c r="G922" s="15">
        <v>104916.8</v>
      </c>
      <c r="H922" s="15">
        <v>124402.01</v>
      </c>
    </row>
    <row r="923" spans="1:8" x14ac:dyDescent="0.15">
      <c r="A923">
        <v>1844400845</v>
      </c>
      <c r="B923" t="s">
        <v>425</v>
      </c>
      <c r="C923" s="16" t="e">
        <f>VLOOKUP(A923,#REF!,3,FALSE)</f>
        <v>#REF!</v>
      </c>
      <c r="E923" s="15">
        <f>VLOOKUP(A923,'[1]תקציב 2012 נכון להיום'!$A$2:$E$1361,5,FALSE)</f>
        <v>20212.79</v>
      </c>
      <c r="F923" s="15">
        <v>32000</v>
      </c>
      <c r="G923" s="15">
        <v>33121.440000000002</v>
      </c>
      <c r="H923" s="15">
        <v>30721.11</v>
      </c>
    </row>
    <row r="924" spans="1:8" x14ac:dyDescent="0.15">
      <c r="A924">
        <v>1844400849</v>
      </c>
      <c r="B924" t="s">
        <v>426</v>
      </c>
      <c r="C924" s="16" t="e">
        <f>VLOOKUP(A924,#REF!,3,FALSE)</f>
        <v>#REF!</v>
      </c>
      <c r="E924" s="15">
        <f>VLOOKUP(A924,'[1]תקציב 2012 נכון להיום'!$A$2:$E$1361,5,FALSE)</f>
        <v>135646</v>
      </c>
      <c r="F924" s="15">
        <v>151000</v>
      </c>
      <c r="G924" s="15">
        <v>101028</v>
      </c>
      <c r="H924" s="15">
        <v>73333</v>
      </c>
    </row>
    <row r="925" spans="1:8" x14ac:dyDescent="0.15">
      <c r="A925">
        <v>1844500840</v>
      </c>
      <c r="B925" t="s">
        <v>427</v>
      </c>
      <c r="C925" s="16" t="e">
        <f>VLOOKUP(A925,#REF!,3,FALSE)</f>
        <v>#REF!</v>
      </c>
      <c r="E925" s="15">
        <f>VLOOKUP(A925,'[1]תקציב 2012 נכון להיום'!$A$2:$E$1361,5,FALSE)</f>
        <v>626247</v>
      </c>
      <c r="F925" s="15">
        <v>611404</v>
      </c>
      <c r="G925" s="15">
        <v>716452</v>
      </c>
      <c r="H925" s="15">
        <v>654198</v>
      </c>
    </row>
    <row r="926" spans="1:8" x14ac:dyDescent="0.15">
      <c r="A926">
        <v>1844500843</v>
      </c>
      <c r="B926" t="s">
        <v>428</v>
      </c>
      <c r="C926" s="16" t="e">
        <f>VLOOKUP(A926,#REF!,3,FALSE)</f>
        <v>#REF!</v>
      </c>
      <c r="E926" s="15">
        <f>VLOOKUP(A926,'[1]תקציב 2012 נכון להיום'!$A$2:$E$1361,5,FALSE)</f>
        <v>66500</v>
      </c>
      <c r="F926" s="15">
        <v>133333</v>
      </c>
      <c r="G926" s="15">
        <v>128351</v>
      </c>
      <c r="H926" s="15">
        <v>66667</v>
      </c>
    </row>
    <row r="927" spans="1:8" x14ac:dyDescent="0.15">
      <c r="A927">
        <v>1845100840</v>
      </c>
      <c r="B927" t="s">
        <v>429</v>
      </c>
      <c r="C927" s="16" t="e">
        <f>VLOOKUP(A927,#REF!,3,FALSE)</f>
        <v>#REF!</v>
      </c>
      <c r="E927" s="15">
        <f>VLOOKUP(A927,'[1]תקציב 2012 נכון להיום'!$A$2:$E$1361,5,FALSE)</f>
        <v>6832193</v>
      </c>
      <c r="F927" s="15">
        <v>8245830</v>
      </c>
      <c r="G927" s="15">
        <v>9259991</v>
      </c>
      <c r="H927" s="15">
        <v>8871770</v>
      </c>
    </row>
    <row r="928" spans="1:8" x14ac:dyDescent="0.15">
      <c r="A928">
        <v>1845100841</v>
      </c>
      <c r="B928" t="s">
        <v>430</v>
      </c>
      <c r="C928" s="16" t="e">
        <f>VLOOKUP(A928,#REF!,3,FALSE)</f>
        <v>#REF!</v>
      </c>
      <c r="E928" s="15">
        <f>VLOOKUP(A928,'[1]תקציב 2012 נכון להיום'!$A$2:$E$1361,5,FALSE)</f>
        <v>2637903</v>
      </c>
      <c r="F928" s="15">
        <v>3124000</v>
      </c>
      <c r="G928" s="15">
        <v>3360000</v>
      </c>
      <c r="H928" s="15">
        <v>3348800</v>
      </c>
    </row>
    <row r="929" spans="1:8" x14ac:dyDescent="0.15">
      <c r="A929">
        <v>1845100842</v>
      </c>
      <c r="B929" t="s">
        <v>431</v>
      </c>
      <c r="C929" s="16" t="e">
        <f>VLOOKUP(A929,#REF!,3,FALSE)</f>
        <v>#REF!</v>
      </c>
      <c r="E929" s="15">
        <f>VLOOKUP(A929,'[1]תקציב 2012 נכון להיום'!$A$2:$E$1361,5,FALSE)</f>
        <v>512890</v>
      </c>
      <c r="F929" s="15">
        <v>478400</v>
      </c>
      <c r="G929" s="15">
        <v>480374</v>
      </c>
      <c r="H929" s="15">
        <v>298813</v>
      </c>
    </row>
    <row r="930" spans="1:8" x14ac:dyDescent="0.15">
      <c r="A930">
        <v>1845100843</v>
      </c>
      <c r="B930" t="s">
        <v>432</v>
      </c>
      <c r="C930" s="16" t="e">
        <f>VLOOKUP(A930,#REF!,3,FALSE)</f>
        <v>#REF!</v>
      </c>
      <c r="E930" s="15">
        <f>VLOOKUP(A930,'[1]תקציב 2012 נכון להיום'!$A$2:$E$1361,5,FALSE)</f>
        <v>50146</v>
      </c>
      <c r="F930" s="15">
        <v>37440</v>
      </c>
      <c r="G930" s="15">
        <v>48834</v>
      </c>
      <c r="H930" s="15">
        <v>41528</v>
      </c>
    </row>
    <row r="931" spans="1:8" x14ac:dyDescent="0.15">
      <c r="A931">
        <v>1845100845</v>
      </c>
      <c r="B931" t="s">
        <v>433</v>
      </c>
      <c r="C931" s="16" t="e">
        <f>VLOOKUP(A931,#REF!,3,FALSE)</f>
        <v>#REF!</v>
      </c>
      <c r="E931" s="15">
        <f>VLOOKUP(A931,'[1]תקציב 2012 נכון להיום'!$A$2:$E$1361,5,FALSE)</f>
        <v>21568</v>
      </c>
      <c r="F931" s="15">
        <v>34800</v>
      </c>
      <c r="G931" s="15">
        <v>34371</v>
      </c>
      <c r="H931" s="15">
        <v>30033</v>
      </c>
    </row>
    <row r="932" spans="1:8" x14ac:dyDescent="0.15">
      <c r="A932">
        <v>1845100846</v>
      </c>
      <c r="B932" t="s">
        <v>434</v>
      </c>
      <c r="C932" s="16" t="e">
        <f>VLOOKUP(A932,#REF!,3,FALSE)</f>
        <v>#REF!</v>
      </c>
      <c r="E932" s="15">
        <f>VLOOKUP(A932,'[1]תקציב 2012 נכון להיום'!$A$2:$E$1361,5,FALSE)</f>
        <v>106852</v>
      </c>
      <c r="F932" s="15">
        <v>77024</v>
      </c>
      <c r="G932" s="15">
        <v>51711</v>
      </c>
      <c r="H932" s="15">
        <v>86282</v>
      </c>
    </row>
    <row r="933" spans="1:8" x14ac:dyDescent="0.15">
      <c r="A933">
        <v>1845200840</v>
      </c>
      <c r="B933" t="s">
        <v>1030</v>
      </c>
      <c r="C933" s="16" t="e">
        <f>VLOOKUP(A933,#REF!,3,FALSE)</f>
        <v>#REF!</v>
      </c>
      <c r="E933" s="15">
        <f>VLOOKUP(A933,'[1]תקציב 2012 נכון להיום'!$A$2:$E$1361,5,FALSE)</f>
        <v>15708</v>
      </c>
      <c r="F933" s="15">
        <v>22523</v>
      </c>
      <c r="G933" s="15">
        <v>40757.35</v>
      </c>
      <c r="H933" s="15">
        <v>41344.94</v>
      </c>
    </row>
    <row r="934" spans="1:8" x14ac:dyDescent="0.15">
      <c r="A934">
        <v>1845200841</v>
      </c>
      <c r="B934" t="s">
        <v>1031</v>
      </c>
      <c r="C934" s="16" t="e">
        <f>VLOOKUP(A934,#REF!,3,FALSE)</f>
        <v>#REF!</v>
      </c>
      <c r="E934" s="15">
        <f>VLOOKUP(A934,'[1]תקציב 2012 נכון להיום'!$A$2:$E$1361,5,FALSE)</f>
        <v>186279.45</v>
      </c>
      <c r="F934" s="15">
        <v>245800</v>
      </c>
      <c r="G934" s="15">
        <v>178286.05</v>
      </c>
      <c r="H934" s="15">
        <v>417657.84</v>
      </c>
    </row>
    <row r="935" spans="1:8" x14ac:dyDescent="0.15">
      <c r="A935">
        <v>1845200842</v>
      </c>
      <c r="B935" t="s">
        <v>1032</v>
      </c>
      <c r="C935" s="16" t="e">
        <f>VLOOKUP(A935,#REF!,3,FALSE)</f>
        <v>#REF!</v>
      </c>
      <c r="E935" s="15">
        <f>VLOOKUP(A935,'[1]תקציב 2012 נכון להיום'!$A$2:$E$1361,5,FALSE)</f>
        <v>447442</v>
      </c>
      <c r="F935" s="15">
        <v>634000</v>
      </c>
      <c r="G935" s="15">
        <v>633512</v>
      </c>
      <c r="H935" s="15">
        <v>621891</v>
      </c>
    </row>
    <row r="936" spans="1:8" x14ac:dyDescent="0.15">
      <c r="A936">
        <v>1845200845</v>
      </c>
      <c r="B936" t="s">
        <v>438</v>
      </c>
      <c r="C936" s="16" t="e">
        <f>VLOOKUP(A936,#REF!,3,FALSE)</f>
        <v>#REF!</v>
      </c>
      <c r="E936" s="15">
        <f>VLOOKUP(A936,'[1]תקציב 2012 נכון להיום'!$A$2:$E$1361,5,FALSE)</f>
        <v>0</v>
      </c>
      <c r="F936" s="15">
        <v>77024</v>
      </c>
      <c r="G936" s="15">
        <v>0</v>
      </c>
      <c r="H936" s="15">
        <v>37555</v>
      </c>
    </row>
    <row r="937" spans="1:8" x14ac:dyDescent="0.15">
      <c r="A937">
        <v>1845300840</v>
      </c>
      <c r="B937" t="s">
        <v>298</v>
      </c>
      <c r="C937" s="16" t="e">
        <f>VLOOKUP(A937,#REF!,3,FALSE)</f>
        <v>#REF!</v>
      </c>
      <c r="E937" s="15">
        <f>VLOOKUP(A937,'[1]תקציב 2012 נכון להיום'!$A$2:$E$1361,5,FALSE)</f>
        <v>24043</v>
      </c>
      <c r="F937" s="15">
        <v>141667</v>
      </c>
      <c r="G937" s="15">
        <v>1515</v>
      </c>
      <c r="H937" s="15">
        <v>15822</v>
      </c>
    </row>
    <row r="938" spans="1:8" x14ac:dyDescent="0.15">
      <c r="A938">
        <v>1845300841</v>
      </c>
      <c r="B938" t="s">
        <v>439</v>
      </c>
      <c r="C938" s="16" t="e">
        <f>VLOOKUP(A938,#REF!,3,FALSE)</f>
        <v>#REF!</v>
      </c>
      <c r="E938" s="15">
        <f>VLOOKUP(A938,'[1]תקציב 2012 נכון להיום'!$A$2:$E$1361,5,FALSE)</f>
        <v>19522</v>
      </c>
      <c r="F938" s="15">
        <v>62467</v>
      </c>
      <c r="G938" s="15">
        <v>27162</v>
      </c>
      <c r="H938" s="15">
        <v>49974</v>
      </c>
    </row>
    <row r="939" spans="1:8" x14ac:dyDescent="0.15">
      <c r="A939">
        <v>1845300843</v>
      </c>
      <c r="B939" t="s">
        <v>440</v>
      </c>
      <c r="C939" s="16" t="e">
        <f>VLOOKUP(A939,#REF!,3,FALSE)</f>
        <v>#REF!</v>
      </c>
      <c r="E939" s="15">
        <f>VLOOKUP(A939,'[1]תקציב 2012 נכון להיום'!$A$2:$E$1361,5,FALSE)</f>
        <v>18883</v>
      </c>
      <c r="F939" s="15">
        <v>20000</v>
      </c>
      <c r="G939" s="15">
        <v>24649</v>
      </c>
      <c r="H939" s="15">
        <v>26403</v>
      </c>
    </row>
    <row r="940" spans="1:8" x14ac:dyDescent="0.15">
      <c r="A940">
        <v>1845300845</v>
      </c>
      <c r="B940" t="s">
        <v>441</v>
      </c>
      <c r="C940" s="16" t="e">
        <f>VLOOKUP(A940,#REF!,3,FALSE)</f>
        <v>#REF!</v>
      </c>
      <c r="E940" s="15">
        <f>VLOOKUP(A940,'[1]תקציב 2012 נכון להיום'!$A$2:$E$1361,5,FALSE)</f>
        <v>243673</v>
      </c>
      <c r="F940" s="15">
        <v>221000</v>
      </c>
      <c r="G940" s="15">
        <v>295078</v>
      </c>
      <c r="H940" s="15">
        <v>221557</v>
      </c>
    </row>
    <row r="941" spans="1:8" x14ac:dyDescent="0.15">
      <c r="A941">
        <v>1846100840</v>
      </c>
      <c r="B941" t="s">
        <v>442</v>
      </c>
      <c r="C941" s="16" t="e">
        <f>VLOOKUP(A941,#REF!,3,FALSE)</f>
        <v>#REF!</v>
      </c>
      <c r="E941" s="15">
        <f>VLOOKUP(A941,'[1]תקציב 2012 נכון להיום'!$A$2:$E$1361,5,FALSE)</f>
        <v>83135</v>
      </c>
      <c r="F941" s="15">
        <v>117129</v>
      </c>
      <c r="G941" s="15">
        <v>108391</v>
      </c>
      <c r="H941" s="15">
        <v>99029</v>
      </c>
    </row>
    <row r="942" spans="1:8" x14ac:dyDescent="0.15">
      <c r="A942">
        <v>1846300841</v>
      </c>
      <c r="B942" t="s">
        <v>443</v>
      </c>
      <c r="C942" s="16" t="e">
        <f>VLOOKUP(A942,#REF!,3,FALSE)</f>
        <v>#REF!</v>
      </c>
      <c r="E942" s="15">
        <f>VLOOKUP(A942,'[1]תקציב 2012 נכון להיום'!$A$2:$E$1361,5,FALSE)</f>
        <v>29562</v>
      </c>
      <c r="F942" s="15">
        <v>50000</v>
      </c>
      <c r="G942" s="15">
        <v>16642</v>
      </c>
      <c r="H942" s="15">
        <v>52194</v>
      </c>
    </row>
    <row r="943" spans="1:8" x14ac:dyDescent="0.15">
      <c r="A943">
        <v>1846300843</v>
      </c>
      <c r="B943" t="s">
        <v>444</v>
      </c>
      <c r="C943" s="16" t="e">
        <f>VLOOKUP(A943,#REF!,3,FALSE)</f>
        <v>#REF!</v>
      </c>
      <c r="E943" s="15">
        <f>VLOOKUP(A943,'[1]תקציב 2012 נכון להיום'!$A$2:$E$1361,5,FALSE)</f>
        <v>7557.9</v>
      </c>
      <c r="F943" s="15">
        <v>10000</v>
      </c>
      <c r="G943" s="15">
        <v>9250.84</v>
      </c>
      <c r="H943" s="15">
        <v>11487.46</v>
      </c>
    </row>
    <row r="944" spans="1:8" x14ac:dyDescent="0.15">
      <c r="A944">
        <v>1846400780</v>
      </c>
      <c r="B944" t="s">
        <v>1033</v>
      </c>
      <c r="C944" s="16" t="e">
        <f>VLOOKUP(A944,#REF!,3,FALSE)</f>
        <v>#REF!</v>
      </c>
      <c r="E944" s="15">
        <f>VLOOKUP(A944,'[1]תקציב 2012 נכון להיום'!$A$2:$E$1361,5,FALSE)</f>
        <v>8123.48</v>
      </c>
      <c r="F944" s="15">
        <v>7500</v>
      </c>
      <c r="G944" s="15">
        <v>11078.25</v>
      </c>
      <c r="H944" s="15">
        <v>10683.22</v>
      </c>
    </row>
    <row r="945" spans="1:8" x14ac:dyDescent="0.15">
      <c r="A945">
        <v>1846400841</v>
      </c>
      <c r="B945" t="s">
        <v>445</v>
      </c>
      <c r="C945" s="16" t="e">
        <f>VLOOKUP(A945,#REF!,3,FALSE)</f>
        <v>#REF!</v>
      </c>
      <c r="E945" s="15">
        <f>VLOOKUP(A945,'[1]תקציב 2012 נכון להיום'!$A$2:$E$1361,5,FALSE)</f>
        <v>82130</v>
      </c>
      <c r="F945" s="15">
        <v>56300</v>
      </c>
      <c r="G945" s="15">
        <v>54726</v>
      </c>
      <c r="H945" s="15">
        <v>1555</v>
      </c>
    </row>
    <row r="946" spans="1:8" x14ac:dyDescent="0.15">
      <c r="A946">
        <v>1846500840</v>
      </c>
      <c r="B946" t="s">
        <v>446</v>
      </c>
      <c r="C946" s="16" t="e">
        <f>VLOOKUP(A946,#REF!,3,FALSE)</f>
        <v>#REF!</v>
      </c>
      <c r="E946" s="15">
        <f>VLOOKUP(A946,'[1]תקציב 2012 נכון להיום'!$A$2:$E$1361,5,FALSE)</f>
        <v>1648624</v>
      </c>
      <c r="F946" s="15">
        <v>2300000</v>
      </c>
      <c r="G946" s="15">
        <v>2211539</v>
      </c>
      <c r="H946" s="15">
        <v>2447969</v>
      </c>
    </row>
    <row r="947" spans="1:8" x14ac:dyDescent="0.15">
      <c r="A947">
        <v>1846600840</v>
      </c>
      <c r="B947" t="s">
        <v>1034</v>
      </c>
      <c r="C947" s="16" t="e">
        <f>VLOOKUP(A947,#REF!,3,FALSE)</f>
        <v>#REF!</v>
      </c>
      <c r="E947" s="15">
        <f>VLOOKUP(A947,'[1]תקציב 2012 נכון להיום'!$A$2:$E$1361,5,FALSE)</f>
        <v>49797</v>
      </c>
      <c r="F947" s="15">
        <v>35660</v>
      </c>
      <c r="G947" s="15">
        <v>45296</v>
      </c>
      <c r="H947" s="15">
        <v>63784</v>
      </c>
    </row>
    <row r="948" spans="1:8" x14ac:dyDescent="0.15">
      <c r="A948">
        <v>1846600841</v>
      </c>
      <c r="B948" t="s">
        <v>448</v>
      </c>
      <c r="C948" s="16" t="e">
        <f>VLOOKUP(A948,#REF!,3,FALSE)</f>
        <v>#REF!</v>
      </c>
      <c r="E948" s="15">
        <f>VLOOKUP(A948,'[1]תקציב 2012 נכון להיום'!$A$2:$E$1361,5,FALSE)</f>
        <v>80248</v>
      </c>
      <c r="F948" s="15">
        <v>53860</v>
      </c>
      <c r="G948" s="15">
        <v>63611</v>
      </c>
      <c r="H948" s="15">
        <v>49248</v>
      </c>
    </row>
    <row r="949" spans="1:8" x14ac:dyDescent="0.15">
      <c r="A949">
        <v>1846700840</v>
      </c>
      <c r="B949" t="s">
        <v>1035</v>
      </c>
      <c r="C949" s="16" t="e">
        <f>VLOOKUP(A949,#REF!,3,FALSE)</f>
        <v>#REF!</v>
      </c>
      <c r="E949" s="15">
        <f>VLOOKUP(A949,'[1]תקציב 2012 נכון להיום'!$A$2:$E$1361,5,FALSE)</f>
        <v>8555</v>
      </c>
      <c r="F949" s="15">
        <v>32000</v>
      </c>
      <c r="G949" s="15">
        <v>0</v>
      </c>
      <c r="H949" s="15">
        <v>16094</v>
      </c>
    </row>
    <row r="950" spans="1:8" x14ac:dyDescent="0.15">
      <c r="A950">
        <v>1846700843</v>
      </c>
      <c r="B950" t="s">
        <v>303</v>
      </c>
      <c r="C950" s="16" t="e">
        <f>VLOOKUP(A950,#REF!,3,FALSE)</f>
        <v>#REF!</v>
      </c>
      <c r="E950" s="15">
        <f>VLOOKUP(A950,'[1]תקציב 2012 נכון להיום'!$A$2:$E$1361,5,FALSE)</f>
        <v>178446</v>
      </c>
      <c r="F950" s="15">
        <v>454770</v>
      </c>
      <c r="G950" s="15">
        <v>445631</v>
      </c>
      <c r="H950" s="15">
        <v>460548</v>
      </c>
    </row>
    <row r="951" spans="1:8" x14ac:dyDescent="0.15">
      <c r="A951">
        <v>1846700844</v>
      </c>
      <c r="B951" t="s">
        <v>450</v>
      </c>
      <c r="C951" s="16" t="e">
        <f>VLOOKUP(A951,#REF!,3,FALSE)</f>
        <v>#REF!</v>
      </c>
      <c r="E951" s="15">
        <f>VLOOKUP(A951,'[1]תקציב 2012 נכון להיום'!$A$2:$E$1361,5,FALSE)</f>
        <v>197853</v>
      </c>
      <c r="F951" s="15">
        <v>475000</v>
      </c>
      <c r="G951" s="15">
        <v>318597</v>
      </c>
      <c r="H951" s="15">
        <v>385526</v>
      </c>
    </row>
    <row r="952" spans="1:8" x14ac:dyDescent="0.15">
      <c r="A952">
        <v>1846700845</v>
      </c>
      <c r="B952" t="s">
        <v>451</v>
      </c>
      <c r="C952" s="16" t="e">
        <f>VLOOKUP(A952,#REF!,3,FALSE)</f>
        <v>#REF!</v>
      </c>
      <c r="E952" s="15">
        <f>VLOOKUP(A952,'[1]תקציב 2012 נכון להיום'!$A$2:$E$1361,5,FALSE)</f>
        <v>87227.08</v>
      </c>
      <c r="F952" s="15">
        <v>181500</v>
      </c>
      <c r="G952" s="15">
        <v>154999.74</v>
      </c>
      <c r="H952" s="15">
        <v>155000.82</v>
      </c>
    </row>
    <row r="953" spans="1:8" x14ac:dyDescent="0.15">
      <c r="A953">
        <v>1846700846</v>
      </c>
      <c r="B953" t="s">
        <v>452</v>
      </c>
      <c r="C953" s="16" t="e">
        <f>VLOOKUP(A953,#REF!,3,FALSE)</f>
        <v>#REF!</v>
      </c>
      <c r="E953" s="15">
        <f>VLOOKUP(A953,'[1]תקציב 2012 נכון להיום'!$A$2:$E$1361,5,FALSE)</f>
        <v>0</v>
      </c>
      <c r="F953" s="15">
        <v>3976</v>
      </c>
      <c r="G953" s="15">
        <v>0</v>
      </c>
      <c r="H953" s="15">
        <v>0</v>
      </c>
    </row>
    <row r="954" spans="1:8" x14ac:dyDescent="0.15">
      <c r="A954">
        <v>1846700847</v>
      </c>
      <c r="B954" t="s">
        <v>453</v>
      </c>
      <c r="C954" s="16" t="e">
        <f>VLOOKUP(A954,#REF!,3,FALSE)</f>
        <v>#REF!</v>
      </c>
      <c r="E954" s="15">
        <f>VLOOKUP(A954,'[1]תקציב 2012 נכון להיום'!$A$2:$E$1361,5,FALSE)</f>
        <v>792</v>
      </c>
      <c r="F954" s="15">
        <v>12000</v>
      </c>
      <c r="G954" s="15">
        <v>4683</v>
      </c>
      <c r="H954" s="15">
        <v>11650</v>
      </c>
    </row>
    <row r="955" spans="1:8" x14ac:dyDescent="0.15">
      <c r="A955">
        <v>1846700848</v>
      </c>
      <c r="B955" t="s">
        <v>454</v>
      </c>
      <c r="C955" s="16" t="e">
        <f>VLOOKUP(A955,#REF!,3,FALSE)</f>
        <v>#REF!</v>
      </c>
      <c r="E955" s="15">
        <f>VLOOKUP(A955,'[1]תקציב 2012 נכון להיום'!$A$2:$E$1361,5,FALSE)</f>
        <v>3228</v>
      </c>
      <c r="F955" s="15">
        <v>12000</v>
      </c>
      <c r="G955" s="15">
        <v>12620</v>
      </c>
      <c r="H955" s="15">
        <v>9879</v>
      </c>
    </row>
    <row r="956" spans="1:8" x14ac:dyDescent="0.15">
      <c r="A956">
        <v>1846800842</v>
      </c>
      <c r="B956" t="s">
        <v>455</v>
      </c>
      <c r="C956" s="16" t="e">
        <f>VLOOKUP(A956,#REF!,3,FALSE)</f>
        <v>#REF!</v>
      </c>
      <c r="E956" s="15">
        <f>VLOOKUP(A956,'[1]תקציב 2012 נכון להיום'!$A$2:$E$1361,5,FALSE)</f>
        <v>5483</v>
      </c>
      <c r="F956" s="15">
        <v>50000</v>
      </c>
      <c r="G956" s="15">
        <v>15793</v>
      </c>
      <c r="H956" s="15">
        <v>47397</v>
      </c>
    </row>
    <row r="957" spans="1:8" x14ac:dyDescent="0.15">
      <c r="A957">
        <v>1846800843</v>
      </c>
      <c r="B957" t="s">
        <v>456</v>
      </c>
      <c r="C957" s="16" t="e">
        <f>VLOOKUP(A957,#REF!,3,FALSE)</f>
        <v>#REF!</v>
      </c>
      <c r="E957" s="15">
        <f>VLOOKUP(A957,'[1]תקציב 2012 נכון להיום'!$A$2:$E$1361,5,FALSE)</f>
        <v>258272</v>
      </c>
      <c r="F957" s="15">
        <v>526600</v>
      </c>
      <c r="G957" s="15">
        <v>845203</v>
      </c>
      <c r="H957" s="15">
        <v>609341</v>
      </c>
    </row>
    <row r="958" spans="1:8" x14ac:dyDescent="0.15">
      <c r="A958">
        <v>1846800844</v>
      </c>
      <c r="B958" t="s">
        <v>457</v>
      </c>
      <c r="C958" s="16" t="e">
        <f>VLOOKUP(A958,#REF!,3,FALSE)</f>
        <v>#REF!</v>
      </c>
      <c r="E958" s="15">
        <f>VLOOKUP(A958,'[1]תקציב 2012 נכון להיום'!$A$2:$E$1361,5,FALSE)</f>
        <v>39427.4</v>
      </c>
      <c r="F958" s="15">
        <v>50000</v>
      </c>
      <c r="G958" s="15">
        <v>39133.599999999999</v>
      </c>
      <c r="H958" s="15">
        <v>47792</v>
      </c>
    </row>
    <row r="959" spans="1:8" x14ac:dyDescent="0.15">
      <c r="A959">
        <v>1846800845</v>
      </c>
      <c r="B959" t="s">
        <v>458</v>
      </c>
      <c r="C959" s="16" t="e">
        <f>VLOOKUP(A959,#REF!,3,FALSE)</f>
        <v>#REF!</v>
      </c>
      <c r="E959" s="15">
        <f>VLOOKUP(A959,'[1]תקציב 2012 נכון להיום'!$A$2:$E$1361,5,FALSE)</f>
        <v>107189</v>
      </c>
      <c r="F959" s="15">
        <v>147000</v>
      </c>
      <c r="G959" s="15">
        <v>147437</v>
      </c>
      <c r="H959" s="15">
        <v>147109</v>
      </c>
    </row>
    <row r="960" spans="1:8" x14ac:dyDescent="0.15">
      <c r="A960">
        <v>1846800846</v>
      </c>
      <c r="B960" t="s">
        <v>459</v>
      </c>
      <c r="C960" s="16" t="e">
        <f>VLOOKUP(A960,#REF!,3,FALSE)</f>
        <v>#REF!</v>
      </c>
      <c r="E960" s="15">
        <f>VLOOKUP(A960,'[1]תקציב 2012 נכון להיום'!$A$2:$E$1361,5,FALSE)</f>
        <v>130076</v>
      </c>
      <c r="F960" s="15">
        <v>200000</v>
      </c>
      <c r="G960" s="15">
        <v>136767</v>
      </c>
      <c r="H960" s="15">
        <v>0</v>
      </c>
    </row>
    <row r="961" spans="1:8" x14ac:dyDescent="0.15">
      <c r="A961">
        <v>1846800849</v>
      </c>
      <c r="B961" t="s">
        <v>460</v>
      </c>
      <c r="C961" s="16" t="e">
        <f>VLOOKUP(A961,#REF!,3,FALSE)</f>
        <v>#REF!</v>
      </c>
      <c r="E961" s="15">
        <f>VLOOKUP(A961,'[1]תקציב 2012 נכון להיום'!$A$2:$E$1361,5,FALSE)</f>
        <v>0</v>
      </c>
      <c r="F961" s="15">
        <v>0</v>
      </c>
      <c r="G961" s="15">
        <v>0</v>
      </c>
      <c r="H961" s="15">
        <v>0</v>
      </c>
    </row>
    <row r="962" spans="1:8" x14ac:dyDescent="0.15">
      <c r="A962">
        <v>1847100780</v>
      </c>
      <c r="B962" t="s">
        <v>1036</v>
      </c>
      <c r="C962" s="16" t="e">
        <f>VLOOKUP(A962,#REF!,3,FALSE)</f>
        <v>#REF!</v>
      </c>
      <c r="E962" s="15">
        <f>VLOOKUP(A962,'[1]תקציב 2012 נכון להיום'!$A$2:$E$1361,5,FALSE)</f>
        <v>9800</v>
      </c>
      <c r="F962" s="15">
        <v>24200</v>
      </c>
      <c r="G962" s="15">
        <v>23400</v>
      </c>
      <c r="H962" s="15">
        <v>16380</v>
      </c>
    </row>
    <row r="963" spans="1:8" x14ac:dyDescent="0.15">
      <c r="A963">
        <v>1847100841</v>
      </c>
      <c r="B963" t="s">
        <v>461</v>
      </c>
      <c r="C963" s="16" t="e">
        <f>VLOOKUP(A963,#REF!,3,FALSE)</f>
        <v>#REF!</v>
      </c>
      <c r="E963" s="15">
        <f>VLOOKUP(A963,'[1]תקציב 2012 נכון להיום'!$A$2:$E$1361,5,FALSE)</f>
        <v>55289.81</v>
      </c>
      <c r="F963" s="15">
        <v>132869</v>
      </c>
      <c r="G963" s="15">
        <v>49467.360000000001</v>
      </c>
      <c r="H963" s="15">
        <v>42575.51</v>
      </c>
    </row>
    <row r="964" spans="1:8" x14ac:dyDescent="0.15">
      <c r="A964">
        <v>1847100843</v>
      </c>
      <c r="B964" t="s">
        <v>462</v>
      </c>
      <c r="C964" s="16" t="e">
        <f>VLOOKUP(A964,#REF!,3,FALSE)</f>
        <v>#REF!</v>
      </c>
      <c r="E964" s="15">
        <f>VLOOKUP(A964,'[1]תקציב 2012 נכון להיום'!$A$2:$E$1361,5,FALSE)</f>
        <v>85801.91</v>
      </c>
      <c r="F964" s="15">
        <v>141667</v>
      </c>
      <c r="G964" s="15">
        <v>132364.60999999999</v>
      </c>
      <c r="H964" s="15">
        <v>100970.32</v>
      </c>
    </row>
    <row r="965" spans="1:8" x14ac:dyDescent="0.15">
      <c r="A965">
        <v>1847100845</v>
      </c>
      <c r="B965" t="s">
        <v>1037</v>
      </c>
      <c r="C965" s="16" t="e">
        <f>VLOOKUP(A965,#REF!,3,FALSE)</f>
        <v>#REF!</v>
      </c>
      <c r="E965" s="15">
        <f>VLOOKUP(A965,'[1]תקציב 2012 נכון להיום'!$A$2:$E$1361,5,FALSE)</f>
        <v>162220.94</v>
      </c>
      <c r="F965" s="15">
        <v>165000</v>
      </c>
      <c r="G965" s="15">
        <v>96869.46</v>
      </c>
      <c r="H965" s="15">
        <v>3500.56</v>
      </c>
    </row>
    <row r="966" spans="1:8" x14ac:dyDescent="0.15">
      <c r="A966">
        <v>1847100851</v>
      </c>
      <c r="B966" t="s">
        <v>465</v>
      </c>
      <c r="C966" s="16" t="e">
        <f>VLOOKUP(A966,#REF!,3,FALSE)</f>
        <v>#REF!</v>
      </c>
      <c r="E966" s="15">
        <f>VLOOKUP(A966,'[1]תקציב 2012 נכון להיום'!$A$2:$E$1361,5,FALSE)</f>
        <v>16110</v>
      </c>
      <c r="F966" s="15">
        <v>95000</v>
      </c>
      <c r="G966" s="15">
        <v>33590</v>
      </c>
      <c r="H966" s="15">
        <v>34675</v>
      </c>
    </row>
    <row r="967" spans="1:8" x14ac:dyDescent="0.15">
      <c r="A967">
        <v>1847110842</v>
      </c>
      <c r="B967" t="s">
        <v>464</v>
      </c>
      <c r="C967" s="16" t="e">
        <f>VLOOKUP(A967,#REF!,3,FALSE)</f>
        <v>#REF!</v>
      </c>
      <c r="E967" s="15">
        <f>VLOOKUP(A967,'[1]תקציב 2012 נכון להיום'!$A$2:$E$1361,5,FALSE)</f>
        <v>51265.3</v>
      </c>
      <c r="F967" s="15">
        <v>80000</v>
      </c>
      <c r="G967" s="15">
        <v>54270.01</v>
      </c>
      <c r="H967" s="15">
        <v>72503.899999999994</v>
      </c>
    </row>
    <row r="968" spans="1:8" x14ac:dyDescent="0.15">
      <c r="A968">
        <v>1847300810</v>
      </c>
      <c r="B968" t="s">
        <v>1038</v>
      </c>
      <c r="C968" s="16" t="e">
        <f>VLOOKUP(A968,#REF!,3,FALSE)</f>
        <v>#REF!</v>
      </c>
      <c r="E968" s="15">
        <f>VLOOKUP(A968,'[1]תקציב 2012 נכון להיום'!$A$2:$E$1361,5,FALSE)</f>
        <v>0</v>
      </c>
      <c r="F968" s="15">
        <v>15869</v>
      </c>
      <c r="G968" s="15">
        <v>0</v>
      </c>
      <c r="H968" s="15">
        <v>0</v>
      </c>
    </row>
    <row r="969" spans="1:8" x14ac:dyDescent="0.15">
      <c r="A969">
        <v>1847300840</v>
      </c>
      <c r="B969" t="s">
        <v>466</v>
      </c>
      <c r="C969" s="16" t="e">
        <f>VLOOKUP(A969,#REF!,3,FALSE)</f>
        <v>#REF!</v>
      </c>
      <c r="E969" s="15">
        <f>VLOOKUP(A969,'[1]תקציב 2012 נכון להיום'!$A$2:$E$1361,5,FALSE)</f>
        <v>4000</v>
      </c>
      <c r="F969" s="15">
        <v>8000</v>
      </c>
      <c r="G969" s="15">
        <v>8022.4</v>
      </c>
      <c r="H969" s="15">
        <v>7999.4</v>
      </c>
    </row>
    <row r="970" spans="1:8" x14ac:dyDescent="0.15">
      <c r="A970">
        <v>1847300842</v>
      </c>
      <c r="B970" t="s">
        <v>467</v>
      </c>
      <c r="C970" s="16" t="e">
        <f>VLOOKUP(A970,#REF!,3,FALSE)</f>
        <v>#REF!</v>
      </c>
      <c r="E970" s="15">
        <f>VLOOKUP(A970,'[1]תקציב 2012 נכון להיום'!$A$2:$E$1361,5,FALSE)</f>
        <v>20002</v>
      </c>
      <c r="F970" s="15">
        <v>19375</v>
      </c>
      <c r="G970" s="15">
        <v>16146</v>
      </c>
      <c r="H970" s="15">
        <v>4395</v>
      </c>
    </row>
    <row r="971" spans="1:8" x14ac:dyDescent="0.15">
      <c r="A971">
        <v>1847300844</v>
      </c>
      <c r="B971" t="s">
        <v>468</v>
      </c>
      <c r="C971" s="16" t="e">
        <f>VLOOKUP(A971,#REF!,3,FALSE)</f>
        <v>#REF!</v>
      </c>
      <c r="E971" s="15">
        <f>VLOOKUP(A971,'[1]תקציב 2012 נכון להיום'!$A$2:$E$1361,5,FALSE)</f>
        <v>85131</v>
      </c>
      <c r="F971" s="15">
        <v>97666</v>
      </c>
      <c r="G971" s="15">
        <v>82782</v>
      </c>
      <c r="H971" s="15">
        <v>51736</v>
      </c>
    </row>
    <row r="972" spans="1:8" x14ac:dyDescent="0.15">
      <c r="A972">
        <v>1847300845</v>
      </c>
      <c r="B972" t="s">
        <v>469</v>
      </c>
      <c r="C972" s="16" t="e">
        <f>VLOOKUP(A972,#REF!,3,FALSE)</f>
        <v>#REF!</v>
      </c>
      <c r="E972" s="15">
        <f>VLOOKUP(A972,'[1]תקציב 2012 נכון להיום'!$A$2:$E$1361,5,FALSE)</f>
        <v>0</v>
      </c>
      <c r="F972" s="15">
        <v>10000</v>
      </c>
      <c r="G972" s="15">
        <v>7666</v>
      </c>
      <c r="H972" s="15">
        <v>0</v>
      </c>
    </row>
    <row r="973" spans="1:8" x14ac:dyDescent="0.15">
      <c r="A973">
        <v>1847400422</v>
      </c>
      <c r="B973" t="s">
        <v>1039</v>
      </c>
      <c r="C973" s="16" t="e">
        <f>VLOOKUP(A973,#REF!,3,FALSE)</f>
        <v>#REF!</v>
      </c>
      <c r="E973" s="15">
        <f>VLOOKUP(A973,'[1]תקציב 2012 נכון להיום'!$A$2:$E$1361,5,FALSE)</f>
        <v>39151.65</v>
      </c>
      <c r="F973" s="15">
        <v>25000</v>
      </c>
      <c r="G973" s="15">
        <v>35336.629999999997</v>
      </c>
      <c r="H973" s="15">
        <v>24514.23</v>
      </c>
    </row>
    <row r="974" spans="1:8" x14ac:dyDescent="0.15">
      <c r="A974">
        <v>1847400540</v>
      </c>
      <c r="B974" t="s">
        <v>875</v>
      </c>
      <c r="C974" s="16" t="e">
        <f>VLOOKUP(A974,#REF!,3,FALSE)</f>
        <v>#REF!</v>
      </c>
      <c r="E974" s="15">
        <f>VLOOKUP(A974,'[1]תקציב 2012 נכון להיום'!$A$2:$E$1361,5,FALSE)</f>
        <v>2535.06</v>
      </c>
      <c r="F974" s="15">
        <v>11000</v>
      </c>
      <c r="G974" s="15">
        <v>3630.53</v>
      </c>
      <c r="H974" s="15">
        <v>11327.77</v>
      </c>
    </row>
    <row r="975" spans="1:8" x14ac:dyDescent="0.15">
      <c r="A975">
        <v>1847400560</v>
      </c>
      <c r="B975" t="s">
        <v>1040</v>
      </c>
      <c r="C975" s="16" t="e">
        <f>VLOOKUP(A975,#REF!,3,FALSE)</f>
        <v>#REF!</v>
      </c>
      <c r="E975" s="15">
        <f>VLOOKUP(A975,'[1]תקציב 2012 נכון להיום'!$A$2:$E$1361,5,FALSE)</f>
        <v>709.32</v>
      </c>
      <c r="F975" s="15">
        <v>5500</v>
      </c>
      <c r="G975" s="15">
        <v>0</v>
      </c>
      <c r="H975" s="15">
        <v>0</v>
      </c>
    </row>
    <row r="976" spans="1:8" x14ac:dyDescent="0.15">
      <c r="A976">
        <v>1847400720</v>
      </c>
      <c r="B976" t="s">
        <v>689</v>
      </c>
      <c r="C976" s="16" t="e">
        <f>VLOOKUP(A976,#REF!,3,FALSE)</f>
        <v>#REF!</v>
      </c>
      <c r="E976" s="15">
        <f>VLOOKUP(A976,'[1]תקציב 2012 נכון להיום'!$A$2:$E$1361,5,FALSE)</f>
        <v>4283</v>
      </c>
      <c r="F976" s="15">
        <v>10500</v>
      </c>
      <c r="G976" s="15">
        <v>27971.26</v>
      </c>
      <c r="H976" s="15">
        <v>15969.46</v>
      </c>
    </row>
    <row r="977" spans="1:8" x14ac:dyDescent="0.15">
      <c r="A977">
        <v>1847400841</v>
      </c>
      <c r="B977" t="s">
        <v>1041</v>
      </c>
      <c r="C977" s="16" t="e">
        <f>VLOOKUP(A977,#REF!,3,FALSE)</f>
        <v>#REF!</v>
      </c>
      <c r="E977" s="15">
        <f>VLOOKUP(A977,'[1]תקציב 2012 נכון להיום'!$A$2:$E$1361,5,FALSE)</f>
        <v>110021.07</v>
      </c>
      <c r="F977" s="15">
        <v>150000</v>
      </c>
      <c r="G977" s="15">
        <v>144859.99</v>
      </c>
      <c r="H977" s="15">
        <v>162756.96</v>
      </c>
    </row>
    <row r="978" spans="1:8" x14ac:dyDescent="0.15">
      <c r="A978">
        <v>1847400843</v>
      </c>
      <c r="B978" t="s">
        <v>1042</v>
      </c>
      <c r="C978" s="16" t="e">
        <f>VLOOKUP(A978,#REF!,3,FALSE)</f>
        <v>#REF!</v>
      </c>
      <c r="E978" s="15">
        <f>VLOOKUP(A978,'[1]תקציב 2012 נכון להיום'!$A$2:$E$1361,5,FALSE)</f>
        <v>27000</v>
      </c>
      <c r="F978" s="15">
        <v>30000</v>
      </c>
      <c r="G978" s="15">
        <v>21600</v>
      </c>
      <c r="H978" s="15">
        <v>39793</v>
      </c>
    </row>
    <row r="979" spans="1:8" x14ac:dyDescent="0.15">
      <c r="A979">
        <v>1847400844</v>
      </c>
      <c r="B979" t="s">
        <v>1043</v>
      </c>
      <c r="C979" s="16" t="e">
        <f>VLOOKUP(A979,#REF!,3,FALSE)</f>
        <v>#REF!</v>
      </c>
      <c r="E979" s="15">
        <f>VLOOKUP(A979,'[1]תקציב 2012 נכון להיום'!$A$2:$E$1361,5,FALSE)</f>
        <v>0</v>
      </c>
      <c r="F979" s="15">
        <v>24000</v>
      </c>
      <c r="G979" s="15">
        <v>14616</v>
      </c>
      <c r="H979" s="15">
        <v>0</v>
      </c>
    </row>
    <row r="980" spans="1:8" x14ac:dyDescent="0.15">
      <c r="A980">
        <v>1847400845</v>
      </c>
      <c r="B980" t="s">
        <v>473</v>
      </c>
      <c r="C980" s="16" t="e">
        <f>VLOOKUP(A980,#REF!,3,FALSE)</f>
        <v>#REF!</v>
      </c>
      <c r="E980" s="15">
        <f>VLOOKUP(A980,'[1]תקציב 2012 נכון להיום'!$A$2:$E$1361,5,FALSE)</f>
        <v>28630</v>
      </c>
      <c r="F980" s="15">
        <v>38000</v>
      </c>
      <c r="G980" s="15">
        <v>1500</v>
      </c>
      <c r="H980" s="15">
        <v>20000</v>
      </c>
    </row>
    <row r="981" spans="1:8" x14ac:dyDescent="0.15">
      <c r="A981">
        <v>1847411750</v>
      </c>
      <c r="B981" t="s">
        <v>1044</v>
      </c>
      <c r="C981" s="16" t="e">
        <f>VLOOKUP(A981,#REF!,3,FALSE)</f>
        <v>#REF!</v>
      </c>
      <c r="E981" s="15">
        <f>VLOOKUP(A981,'[1]תקציב 2012 נכון להיום'!$A$2:$E$1361,5,FALSE)</f>
        <v>36106</v>
      </c>
      <c r="F981" s="15">
        <v>51000</v>
      </c>
      <c r="G981" s="15">
        <v>44094</v>
      </c>
      <c r="H981" s="15">
        <v>44000</v>
      </c>
    </row>
    <row r="982" spans="1:8" x14ac:dyDescent="0.15">
      <c r="A982">
        <v>1848200841</v>
      </c>
      <c r="B982" t="s">
        <v>1045</v>
      </c>
      <c r="C982" s="16" t="e">
        <f>VLOOKUP(A982,#REF!,3,FALSE)</f>
        <v>#REF!</v>
      </c>
      <c r="E982" s="15">
        <f>VLOOKUP(A982,'[1]תקציב 2012 נכון להיום'!$A$2:$E$1361,5,FALSE)</f>
        <v>98360</v>
      </c>
      <c r="F982" s="15">
        <v>146669</v>
      </c>
      <c r="G982" s="15">
        <v>98794.23</v>
      </c>
      <c r="H982" s="15">
        <v>145722.97</v>
      </c>
    </row>
    <row r="983" spans="1:8" x14ac:dyDescent="0.15">
      <c r="A983">
        <v>1848300580</v>
      </c>
      <c r="B983" t="s">
        <v>1046</v>
      </c>
      <c r="C983" s="16" t="e">
        <f>VLOOKUP(A983,#REF!,3,FALSE)</f>
        <v>#REF!</v>
      </c>
      <c r="E983" s="15">
        <f>VLOOKUP(A983,'[1]תקציב 2012 נכון להיום'!$A$2:$E$1361,5,FALSE)</f>
        <v>0</v>
      </c>
      <c r="F983" s="15">
        <v>6000</v>
      </c>
      <c r="G983" s="15">
        <v>6858.47</v>
      </c>
      <c r="H983" s="15">
        <v>5999.8</v>
      </c>
    </row>
    <row r="984" spans="1:8" x14ac:dyDescent="0.15">
      <c r="A984">
        <v>1848300840</v>
      </c>
      <c r="B984" t="s">
        <v>1047</v>
      </c>
      <c r="C984" s="16" t="e">
        <f>VLOOKUP(A984,#REF!,3,FALSE)</f>
        <v>#REF!</v>
      </c>
      <c r="E984" s="15">
        <f>VLOOKUP(A984,'[1]תקציב 2012 נכון להיום'!$A$2:$E$1361,5,FALSE)</f>
        <v>484.5</v>
      </c>
      <c r="F984" s="15">
        <v>17333</v>
      </c>
      <c r="G984" s="15">
        <v>4171.6000000000004</v>
      </c>
      <c r="H984" s="15">
        <v>3440.02</v>
      </c>
    </row>
    <row r="985" spans="1:8" x14ac:dyDescent="0.15">
      <c r="A985">
        <v>1848400840</v>
      </c>
      <c r="B985" t="s">
        <v>476</v>
      </c>
      <c r="C985" s="16" t="e">
        <f>VLOOKUP(A985,#REF!,3,FALSE)</f>
        <v>#REF!</v>
      </c>
      <c r="E985" s="15">
        <f>VLOOKUP(A985,'[1]תקציב 2012 נכון להיום'!$A$2:$E$1361,5,FALSE)</f>
        <v>0</v>
      </c>
      <c r="F985" s="15">
        <v>2667</v>
      </c>
      <c r="G985" s="15">
        <v>400</v>
      </c>
      <c r="H985" s="15">
        <v>845.49</v>
      </c>
    </row>
    <row r="986" spans="1:8" x14ac:dyDescent="0.15">
      <c r="A986">
        <v>1848500840</v>
      </c>
      <c r="B986" t="s">
        <v>477</v>
      </c>
      <c r="C986" s="16" t="e">
        <f>VLOOKUP(A986,#REF!,3,FALSE)</f>
        <v>#REF!</v>
      </c>
      <c r="E986" s="15">
        <f>VLOOKUP(A986,'[1]תקציב 2012 נכון להיום'!$A$2:$E$1361,5,FALSE)</f>
        <v>0</v>
      </c>
      <c r="F986" s="15">
        <v>16000</v>
      </c>
      <c r="G986" s="15">
        <v>11960</v>
      </c>
      <c r="H986" s="15">
        <v>0</v>
      </c>
    </row>
    <row r="987" spans="1:8" x14ac:dyDescent="0.15">
      <c r="A987">
        <v>1848800780</v>
      </c>
      <c r="B987" t="s">
        <v>1048</v>
      </c>
      <c r="C987" s="16" t="e">
        <f>VLOOKUP(A987,#REF!,3,FALSE)</f>
        <v>#REF!</v>
      </c>
      <c r="E987" s="15">
        <f>VLOOKUP(A987,'[1]תקציב 2012 נכון להיום'!$A$2:$E$1361,5,FALSE)</f>
        <v>30000</v>
      </c>
      <c r="F987" s="15">
        <v>30000</v>
      </c>
      <c r="G987" s="15">
        <v>30000</v>
      </c>
      <c r="H987" s="15">
        <v>30000</v>
      </c>
    </row>
    <row r="988" spans="1:8" x14ac:dyDescent="0.15">
      <c r="A988">
        <v>1848801750</v>
      </c>
      <c r="B988" t="s">
        <v>1049</v>
      </c>
      <c r="C988" s="16" t="e">
        <f>VLOOKUP(A988,#REF!,3,FALSE)</f>
        <v>#REF!</v>
      </c>
      <c r="E988" s="15">
        <f>VLOOKUP(A988,'[1]תקציב 2012 נכון להיום'!$A$2:$E$1361,5,FALSE)</f>
        <v>14402</v>
      </c>
      <c r="F988" s="15">
        <v>154853</v>
      </c>
      <c r="G988" s="15">
        <v>12339</v>
      </c>
      <c r="H988" s="15">
        <v>0</v>
      </c>
    </row>
    <row r="989" spans="1:8" x14ac:dyDescent="0.15">
      <c r="A989">
        <v>1849000840</v>
      </c>
      <c r="B989" t="s">
        <v>1050</v>
      </c>
      <c r="C989" s="16" t="e">
        <f>VLOOKUP(A989,#REF!,3,FALSE)</f>
        <v>#REF!</v>
      </c>
      <c r="E989" s="15">
        <f>VLOOKUP(A989,'[1]תקציב 2012 נכון להיום'!$A$2:$E$1361,5,FALSE)</f>
        <v>0</v>
      </c>
      <c r="F989" s="15">
        <v>17680</v>
      </c>
      <c r="G989" s="15">
        <v>0</v>
      </c>
      <c r="H989" s="15">
        <v>0</v>
      </c>
    </row>
    <row r="990" spans="1:8" x14ac:dyDescent="0.15">
      <c r="A990">
        <v>1849000841</v>
      </c>
      <c r="B990" t="s">
        <v>1051</v>
      </c>
      <c r="C990" s="16" t="e">
        <f>VLOOKUP(A990,#REF!,3,FALSE)</f>
        <v>#REF!</v>
      </c>
      <c r="E990" s="15">
        <f>VLOOKUP(A990,'[1]תקציב 2012 נכון להיום'!$A$2:$E$1361,5,FALSE)</f>
        <v>0</v>
      </c>
      <c r="F990" s="15">
        <v>62262</v>
      </c>
      <c r="G990" s="15">
        <v>54456</v>
      </c>
      <c r="H990" s="15">
        <v>15771</v>
      </c>
    </row>
    <row r="991" spans="1:8" x14ac:dyDescent="0.15">
      <c r="A991">
        <v>1849000842</v>
      </c>
      <c r="B991" t="s">
        <v>1052</v>
      </c>
      <c r="C991" s="16" t="e">
        <f>VLOOKUP(A991,#REF!,3,FALSE)</f>
        <v>#REF!</v>
      </c>
      <c r="E991" s="15">
        <f>VLOOKUP(A991,'[1]תקציב 2012 נכון להיום'!$A$2:$E$1361,5,FALSE)</f>
        <v>39003</v>
      </c>
      <c r="F991" s="15">
        <v>50825</v>
      </c>
      <c r="G991" s="15">
        <v>50929</v>
      </c>
      <c r="H991" s="15">
        <v>43768</v>
      </c>
    </row>
    <row r="992" spans="1:8" x14ac:dyDescent="0.15">
      <c r="A992">
        <v>1849000843</v>
      </c>
      <c r="B992" t="s">
        <v>1053</v>
      </c>
      <c r="C992" s="16" t="e">
        <f>VLOOKUP(A992,#REF!,3,FALSE)</f>
        <v>#REF!</v>
      </c>
      <c r="E992" s="15">
        <f>VLOOKUP(A992,'[1]תקציב 2012 נכון להיום'!$A$2:$E$1361,5,FALSE)</f>
        <v>100654</v>
      </c>
      <c r="F992" s="15">
        <v>135300</v>
      </c>
      <c r="G992" s="15">
        <v>139848</v>
      </c>
      <c r="H992" s="15">
        <v>127770</v>
      </c>
    </row>
    <row r="993" spans="1:8" x14ac:dyDescent="0.15">
      <c r="A993">
        <v>1849000844</v>
      </c>
      <c r="B993" t="s">
        <v>1054</v>
      </c>
      <c r="C993" s="16" t="e">
        <f>VLOOKUP(A993,#REF!,3,FALSE)</f>
        <v>#REF!</v>
      </c>
      <c r="E993" s="15">
        <f>VLOOKUP(A993,'[1]תקציב 2012 נכון להיום'!$A$2:$E$1361,5,FALSE)</f>
        <v>259325</v>
      </c>
      <c r="F993" s="15">
        <v>397900</v>
      </c>
      <c r="G993" s="15">
        <v>400174</v>
      </c>
      <c r="H993" s="15">
        <v>448389</v>
      </c>
    </row>
    <row r="994" spans="1:8" x14ac:dyDescent="0.15">
      <c r="A994">
        <v>1849000845</v>
      </c>
      <c r="B994" t="s">
        <v>1055</v>
      </c>
      <c r="C994" s="16" t="e">
        <f>VLOOKUP(A994,#REF!,3,FALSE)</f>
        <v>#REF!</v>
      </c>
      <c r="E994" s="15">
        <f>VLOOKUP(A994,'[1]תקציב 2012 נכון להיום'!$A$2:$E$1361,5,FALSE)</f>
        <v>28668</v>
      </c>
      <c r="F994" s="15">
        <v>48933</v>
      </c>
      <c r="G994" s="15">
        <v>45299</v>
      </c>
      <c r="H994" s="15">
        <v>45631</v>
      </c>
    </row>
    <row r="995" spans="1:8" x14ac:dyDescent="0.15">
      <c r="A995">
        <v>1849001844</v>
      </c>
      <c r="B995" t="s">
        <v>485</v>
      </c>
      <c r="C995" s="16" t="e">
        <f>VLOOKUP(A995,#REF!,3,FALSE)</f>
        <v>#REF!</v>
      </c>
      <c r="E995" s="15">
        <f>VLOOKUP(A995,'[1]תקציב 2012 נכון להיום'!$A$2:$E$1361,5,FALSE)</f>
        <v>180000</v>
      </c>
      <c r="F995" s="15">
        <v>180000</v>
      </c>
      <c r="G995" s="15">
        <v>180000</v>
      </c>
      <c r="H995" s="15">
        <v>150000</v>
      </c>
    </row>
    <row r="996" spans="1:8" x14ac:dyDescent="0.15">
      <c r="A996">
        <v>1849001847</v>
      </c>
      <c r="B996" t="s">
        <v>486</v>
      </c>
      <c r="C996" s="16" t="e">
        <f>VLOOKUP(A996,#REF!,3,FALSE)</f>
        <v>#REF!</v>
      </c>
      <c r="E996" s="15">
        <f>VLOOKUP(A996,'[1]תקציב 2012 נכון להיום'!$A$2:$E$1361,5,FALSE)</f>
        <v>20084</v>
      </c>
      <c r="F996" s="15">
        <v>36000</v>
      </c>
      <c r="G996" s="15">
        <v>21451</v>
      </c>
      <c r="H996" s="15">
        <v>22731</v>
      </c>
    </row>
    <row r="997" spans="1:8" x14ac:dyDescent="0.15">
      <c r="A997">
        <v>1849001849</v>
      </c>
      <c r="B997" t="s">
        <v>487</v>
      </c>
      <c r="C997" s="16" t="e">
        <f>VLOOKUP(A997,#REF!,3,FALSE)</f>
        <v>#REF!</v>
      </c>
      <c r="E997" s="15">
        <f>VLOOKUP(A997,'[1]תקציב 2012 נכון להיום'!$A$2:$E$1361,5,FALSE)</f>
        <v>20939</v>
      </c>
      <c r="F997" s="15">
        <v>26133</v>
      </c>
      <c r="G997" s="15">
        <v>21621</v>
      </c>
      <c r="H997" s="15">
        <v>16531</v>
      </c>
    </row>
    <row r="998" spans="1:8" x14ac:dyDescent="0.15">
      <c r="A998">
        <v>1849002849</v>
      </c>
      <c r="B998" t="s">
        <v>1056</v>
      </c>
      <c r="C998" s="16" t="e">
        <f>VLOOKUP(A998,#REF!,3,FALSE)</f>
        <v>#REF!</v>
      </c>
      <c r="E998" s="15">
        <f>VLOOKUP(A998,'[1]תקציב 2012 נכון להיום'!$A$2:$E$1361,5,FALSE)</f>
        <v>2570</v>
      </c>
      <c r="F998" s="15">
        <v>10000</v>
      </c>
      <c r="G998" s="15">
        <v>5525</v>
      </c>
      <c r="H998" s="15">
        <v>4765</v>
      </c>
    </row>
    <row r="999" spans="1:8" x14ac:dyDescent="0.15">
      <c r="C999" s="16" t="e">
        <f>VLOOKUP(A999,#REF!,3,FALSE)</f>
        <v>#REF!</v>
      </c>
    </row>
    <row r="1000" spans="1:8" x14ac:dyDescent="0.15">
      <c r="C1000" s="16" t="e">
        <f>VLOOKUP(A1000,#REF!,3,FALSE)</f>
        <v>#REF!</v>
      </c>
    </row>
    <row r="1001" spans="1:8" x14ac:dyDescent="0.15">
      <c r="A1001" t="s">
        <v>281</v>
      </c>
      <c r="B1001" t="s">
        <v>1057</v>
      </c>
      <c r="C1001" s="16" t="e">
        <f>VLOOKUP(A1001,#REF!,3,FALSE)</f>
        <v>#REF!</v>
      </c>
    </row>
    <row r="1002" spans="1:8" x14ac:dyDescent="0.15">
      <c r="A1002" t="s">
        <v>1058</v>
      </c>
      <c r="B1002" t="s">
        <v>1057</v>
      </c>
      <c r="C1002" s="16" t="e">
        <f>VLOOKUP(A1002,#REF!,3,FALSE)</f>
        <v>#REF!</v>
      </c>
    </row>
    <row r="1003" spans="1:8" x14ac:dyDescent="0.15">
      <c r="A1003">
        <v>1649100691</v>
      </c>
      <c r="B1003" t="s">
        <v>1059</v>
      </c>
      <c r="C1003" s="16" t="e">
        <f>VLOOKUP(A1003,#REF!,3,FALSE)</f>
        <v>#REF!</v>
      </c>
      <c r="E1003" s="15">
        <f>VLOOKUP(A1003,'[1]תקציב 2012 נכון להיום'!$A$2:$E$1361,5,FALSE)</f>
        <v>3642296.34</v>
      </c>
      <c r="F1003" s="15">
        <v>5375702</v>
      </c>
      <c r="G1003" s="15">
        <v>5551892.8799999999</v>
      </c>
      <c r="H1003" s="15">
        <v>5126588.68</v>
      </c>
    </row>
    <row r="1004" spans="1:8" x14ac:dyDescent="0.15">
      <c r="A1004">
        <v>1649100692</v>
      </c>
      <c r="B1004" t="s">
        <v>1060</v>
      </c>
      <c r="C1004" s="16" t="e">
        <f>VLOOKUP(A1004,#REF!,3,FALSE)</f>
        <v>#REF!</v>
      </c>
      <c r="E1004" s="15">
        <f>VLOOKUP(A1004,'[1]תקציב 2012 נכון להיום'!$A$2:$E$1361,5,FALSE)</f>
        <v>1680062.87</v>
      </c>
      <c r="F1004" s="15">
        <v>2651369</v>
      </c>
      <c r="G1004" s="15">
        <v>2707912.8</v>
      </c>
      <c r="H1004" s="15">
        <v>2191962.2999999998</v>
      </c>
    </row>
    <row r="1005" spans="1:8" x14ac:dyDescent="0.15">
      <c r="A1005">
        <v>1649100693</v>
      </c>
      <c r="B1005" t="s">
        <v>1061</v>
      </c>
      <c r="C1005" s="16" t="e">
        <f>VLOOKUP(A1005,#REF!,3,FALSE)</f>
        <v>#REF!</v>
      </c>
      <c r="E1005" s="15">
        <f>VLOOKUP(A1005,'[1]תקציב 2012 נכון להיום'!$A$2:$E$1361,5,FALSE)</f>
        <v>503174</v>
      </c>
      <c r="F1005" s="15">
        <v>871785</v>
      </c>
      <c r="G1005" s="15">
        <v>828966.28</v>
      </c>
      <c r="H1005" s="15">
        <v>986046.2</v>
      </c>
    </row>
    <row r="1006" spans="1:8" x14ac:dyDescent="0.15">
      <c r="C1006" s="16" t="e">
        <f>VLOOKUP(A1006,#REF!,3,FALSE)</f>
        <v>#REF!</v>
      </c>
    </row>
    <row r="1007" spans="1:8" x14ac:dyDescent="0.15">
      <c r="A1007" t="s">
        <v>1062</v>
      </c>
      <c r="B1007" t="s">
        <v>1063</v>
      </c>
      <c r="C1007" s="16" t="e">
        <f>VLOOKUP(A1007,#REF!,3,FALSE)</f>
        <v>#REF!</v>
      </c>
    </row>
    <row r="1008" spans="1:8" x14ac:dyDescent="0.15">
      <c r="A1008">
        <v>1649000694</v>
      </c>
      <c r="B1008" t="s">
        <v>1064</v>
      </c>
      <c r="C1008" s="16" t="e">
        <f>VLOOKUP(A1008,#REF!,3,FALSE)</f>
        <v>#REF!</v>
      </c>
      <c r="E1008" s="15">
        <f>VLOOKUP(A1008,'[1]תקציב 2012 נכון להיום'!$A$2:$E$1361,5,FALSE)</f>
        <v>1436000.6</v>
      </c>
      <c r="F1008" s="15">
        <v>2110232</v>
      </c>
      <c r="G1008" s="15">
        <v>2104298</v>
      </c>
      <c r="H1008" s="15">
        <v>1841804.28</v>
      </c>
    </row>
    <row r="1009" spans="1:8" x14ac:dyDescent="0.15">
      <c r="A1009">
        <v>1649000695</v>
      </c>
      <c r="B1009" t="s">
        <v>1065</v>
      </c>
      <c r="C1009" s="16" t="e">
        <f>VLOOKUP(A1009,#REF!,3,FALSE)</f>
        <v>#REF!</v>
      </c>
      <c r="E1009" s="15">
        <f>VLOOKUP(A1009,'[1]תקציב 2012 נכון להיום'!$A$2:$E$1361,5,FALSE)</f>
        <v>681650.57</v>
      </c>
      <c r="F1009" s="15">
        <v>1203772</v>
      </c>
      <c r="G1009" s="15">
        <v>1156049.53</v>
      </c>
      <c r="H1009" s="15">
        <v>1145311.54</v>
      </c>
    </row>
    <row r="1010" spans="1:8" x14ac:dyDescent="0.15">
      <c r="A1010">
        <v>1649000696</v>
      </c>
      <c r="B1010" t="s">
        <v>1066</v>
      </c>
      <c r="C1010" s="16" t="e">
        <f>VLOOKUP(A1010,#REF!,3,FALSE)</f>
        <v>#REF!</v>
      </c>
      <c r="E1010" s="15">
        <f>VLOOKUP(A1010,'[1]תקציב 2012 נכון להיום'!$A$2:$E$1361,5,FALSE)</f>
        <v>269344.09999999998</v>
      </c>
      <c r="F1010" s="15">
        <v>368577</v>
      </c>
      <c r="G1010" s="15">
        <v>359166.62</v>
      </c>
      <c r="H1010" s="15">
        <v>548024.61</v>
      </c>
    </row>
    <row r="1011" spans="1:8" x14ac:dyDescent="0.15">
      <c r="C1011" s="16" t="e">
        <f>VLOOKUP(A1011,#REF!,3,FALSE)</f>
        <v>#REF!</v>
      </c>
    </row>
    <row r="1012" spans="1:8" x14ac:dyDescent="0.15">
      <c r="C1012" s="16" t="e">
        <f>VLOOKUP(A1012,#REF!,3,FALSE)</f>
        <v>#REF!</v>
      </c>
    </row>
    <row r="1013" spans="1:8" ht="14" thickBot="1" x14ac:dyDescent="0.2">
      <c r="A1013" t="s">
        <v>1067</v>
      </c>
      <c r="B1013" t="s">
        <v>1068</v>
      </c>
      <c r="C1013" s="16" t="e">
        <f>VLOOKUP(A1013,#REF!,3,FALSE)</f>
        <v>#REF!</v>
      </c>
    </row>
    <row r="1014" spans="1:8" x14ac:dyDescent="0.15">
      <c r="A1014">
        <v>1631000610</v>
      </c>
      <c r="B1014" t="s">
        <v>1069</v>
      </c>
      <c r="C1014" s="16" t="e">
        <f>VLOOKUP(A1014,#REF!,3,FALSE)</f>
        <v>#REF!</v>
      </c>
      <c r="D1014" s="346" t="s">
        <v>1113</v>
      </c>
      <c r="E1014" s="15">
        <f>VLOOKUP(A1014,'[1]תקציב 2012 נכון להיום'!$A$2:$E$1361,5,FALSE)</f>
        <v>479212.98</v>
      </c>
      <c r="F1014" s="15">
        <v>700000</v>
      </c>
      <c r="G1014" s="15">
        <v>633102.86</v>
      </c>
      <c r="H1014" s="15">
        <v>765222.98</v>
      </c>
    </row>
    <row r="1015" spans="1:8" x14ac:dyDescent="0.15">
      <c r="A1015">
        <v>1631100610</v>
      </c>
      <c r="B1015" t="s">
        <v>1070</v>
      </c>
      <c r="C1015" s="16" t="e">
        <f>VLOOKUP(A1015,#REF!,3,FALSE)</f>
        <v>#REF!</v>
      </c>
      <c r="D1015" s="347"/>
      <c r="E1015" s="15">
        <f>VLOOKUP(A1015,'[1]תקציב 2012 נכון להיום'!$A$2:$E$1361,5,FALSE)</f>
        <v>97498.16</v>
      </c>
      <c r="F1015" s="15">
        <v>350000</v>
      </c>
      <c r="G1015" s="15">
        <v>434978.6</v>
      </c>
      <c r="H1015" s="15">
        <v>748634.39</v>
      </c>
    </row>
    <row r="1016" spans="1:8" x14ac:dyDescent="0.15">
      <c r="A1016">
        <v>1632000620</v>
      </c>
      <c r="B1016" t="s">
        <v>1071</v>
      </c>
      <c r="C1016" s="16" t="e">
        <f>VLOOKUP(A1016,#REF!,3,FALSE)</f>
        <v>#REF!</v>
      </c>
      <c r="D1016" s="347"/>
      <c r="E1016" s="15">
        <f>VLOOKUP(A1016,'[1]תקציב 2012 נכון להיום'!$A$2:$E$1361,5,FALSE)</f>
        <v>89875.65</v>
      </c>
      <c r="F1016" s="15">
        <v>420000</v>
      </c>
      <c r="G1016" s="15">
        <v>355139.16</v>
      </c>
      <c r="H1016" s="15">
        <v>403042.3</v>
      </c>
    </row>
    <row r="1017" spans="1:8" x14ac:dyDescent="0.15">
      <c r="A1017">
        <v>1632000622</v>
      </c>
      <c r="B1017" t="s">
        <v>1128</v>
      </c>
      <c r="C1017" s="16" t="e">
        <f>VLOOKUP(A1017,#REF!,3,FALSE)</f>
        <v>#REF!</v>
      </c>
      <c r="D1017" s="347"/>
      <c r="E1017" s="15">
        <f>VLOOKUP(A1017,'[1]תקציב 2012 נכון להיום'!$A$2:$E$1361,5,FALSE)</f>
        <v>0</v>
      </c>
      <c r="F1017" s="15">
        <v>70000</v>
      </c>
      <c r="G1017" s="15">
        <v>0</v>
      </c>
      <c r="H1017" s="15">
        <v>748063</v>
      </c>
    </row>
    <row r="1018" spans="1:8" ht="14" thickBot="1" x14ac:dyDescent="0.2">
      <c r="A1018">
        <v>1632000623</v>
      </c>
      <c r="B1018" t="s">
        <v>1072</v>
      </c>
      <c r="C1018" s="16" t="e">
        <f>VLOOKUP(A1018,#REF!,3,FALSE)</f>
        <v>#REF!</v>
      </c>
      <c r="D1018" s="348"/>
      <c r="E1018" s="15">
        <f>VLOOKUP(A1018,'[1]תקציב 2012 נכון להיום'!$A$2:$E$1361,5,FALSE)</f>
        <v>336594</v>
      </c>
      <c r="F1018" s="15">
        <v>500000</v>
      </c>
      <c r="G1018" s="15">
        <v>309805</v>
      </c>
      <c r="H1018" s="15">
        <v>579999.43000000005</v>
      </c>
    </row>
    <row r="1019" spans="1:8" x14ac:dyDescent="0.15">
      <c r="C1019" s="16" t="e">
        <f>VLOOKUP(A1019,#REF!,3,FALSE)</f>
        <v>#REF!</v>
      </c>
    </row>
    <row r="1020" spans="1:8" x14ac:dyDescent="0.15">
      <c r="A1020" t="s">
        <v>1073</v>
      </c>
      <c r="B1020" t="s">
        <v>1074</v>
      </c>
      <c r="C1020" s="16" t="e">
        <f>VLOOKUP(A1020,#REF!,3,FALSE)</f>
        <v>#REF!</v>
      </c>
    </row>
    <row r="1021" spans="1:8" ht="14" thickBot="1" x14ac:dyDescent="0.2">
      <c r="A1021">
        <v>1991000523</v>
      </c>
      <c r="B1021" t="s">
        <v>1075</v>
      </c>
      <c r="C1021" s="16" t="e">
        <f>VLOOKUP(A1021,#REF!,3,FALSE)</f>
        <v>#REF!</v>
      </c>
      <c r="E1021" s="15">
        <f>VLOOKUP(A1021,'[1]תקציב 2012 נכון להיום'!$A$2:$E$1361,5,FALSE)</f>
        <v>291072</v>
      </c>
      <c r="F1021" s="15">
        <v>270000</v>
      </c>
      <c r="G1021" s="15">
        <v>260508.14</v>
      </c>
      <c r="H1021" s="15">
        <v>268974.78000000003</v>
      </c>
    </row>
    <row r="1022" spans="1:8" ht="15" thickBot="1" x14ac:dyDescent="0.2">
      <c r="A1022">
        <v>1993000980</v>
      </c>
      <c r="B1022" t="s">
        <v>1076</v>
      </c>
      <c r="C1022" s="16" t="e">
        <f>VLOOKUP(A1022,#REF!,3,FALSE)</f>
        <v>#REF!</v>
      </c>
      <c r="D1022" s="21" t="s">
        <v>1113</v>
      </c>
      <c r="E1022" s="15">
        <f>VLOOKUP(A1022,'[1]תקציב 2012 נכון להיום'!$A$2:$E$1361,5,FALSE)</f>
        <v>218711</v>
      </c>
      <c r="F1022" s="15">
        <v>55000</v>
      </c>
      <c r="G1022" s="15">
        <v>473197.16</v>
      </c>
      <c r="H1022" s="15">
        <v>1084051.08</v>
      </c>
    </row>
    <row r="1023" spans="1:8" x14ac:dyDescent="0.15">
      <c r="C1023" s="16" t="e">
        <f>VLOOKUP(A1023,#REF!,3,FALSE)</f>
        <v>#REF!</v>
      </c>
    </row>
    <row r="1024" spans="1:8" x14ac:dyDescent="0.15">
      <c r="C1024" s="16" t="e">
        <f>VLOOKUP(A1024,#REF!,3,FALSE)</f>
        <v>#REF!</v>
      </c>
    </row>
    <row r="1025" spans="1:8" x14ac:dyDescent="0.15">
      <c r="C1025" s="16" t="e">
        <f>VLOOKUP(A1025,#REF!,3,FALSE)</f>
        <v>#REF!</v>
      </c>
    </row>
    <row r="1026" spans="1:8" x14ac:dyDescent="0.15">
      <c r="C1026" s="16" t="e">
        <f>VLOOKUP(A1026,#REF!,3,FALSE)</f>
        <v>#REF!</v>
      </c>
    </row>
    <row r="1027" spans="1:8" x14ac:dyDescent="0.15">
      <c r="A1027">
        <v>1995000860</v>
      </c>
      <c r="B1027" t="s">
        <v>1078</v>
      </c>
      <c r="C1027" s="16" t="e">
        <f>VLOOKUP(A1027,#REF!,3,FALSE)</f>
        <v>#REF!</v>
      </c>
      <c r="E1027" s="15">
        <f>VLOOKUP(A1027,'[1]תקציב 2012 נכון להיום'!$A$2:$E$1361,5,FALSE)</f>
        <v>8712602</v>
      </c>
      <c r="F1027" s="15">
        <v>19000000</v>
      </c>
      <c r="G1027" s="15">
        <v>11176429</v>
      </c>
      <c r="H1027" s="15">
        <v>18176000.239999998</v>
      </c>
    </row>
    <row r="1028" spans="1:8" x14ac:dyDescent="0.15">
      <c r="C1028" s="16"/>
    </row>
    <row r="1029" spans="1:8" x14ac:dyDescent="0.15">
      <c r="C1029" s="1"/>
    </row>
  </sheetData>
  <mergeCells count="28">
    <mergeCell ref="D709:D710"/>
    <mergeCell ref="D1014:D1018"/>
    <mergeCell ref="D619:D633"/>
    <mergeCell ref="D634:D644"/>
    <mergeCell ref="D646:D654"/>
    <mergeCell ref="D655:D658"/>
    <mergeCell ref="D684:D693"/>
    <mergeCell ref="D694:D700"/>
    <mergeCell ref="D495:D503"/>
    <mergeCell ref="D506:D513"/>
    <mergeCell ref="D659:D676"/>
    <mergeCell ref="D677:D680"/>
    <mergeCell ref="D526:D527"/>
    <mergeCell ref="D534:D537"/>
    <mergeCell ref="D571:D572"/>
    <mergeCell ref="D573:D578"/>
    <mergeCell ref="D582:D587"/>
    <mergeCell ref="D591:D593"/>
    <mergeCell ref="D515:D521"/>
    <mergeCell ref="D522:D524"/>
    <mergeCell ref="D394:D397"/>
    <mergeCell ref="D398:D406"/>
    <mergeCell ref="D486:D493"/>
    <mergeCell ref="D66:D73"/>
    <mergeCell ref="D81:D82"/>
    <mergeCell ref="D238:D239"/>
    <mergeCell ref="D374:D379"/>
    <mergeCell ref="D381:D385"/>
  </mergeCells>
  <phoneticPr fontId="48" type="noConversion"/>
  <pageMargins left="0.74803149606299213" right="0.74803149606299213" top="0.98425196850393704" bottom="0.98425196850393704" header="0.51181102362204722" footer="0.51181102362204722"/>
  <pageSetup paperSize="9" scale="85" orientation="landscape"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F445"/>
  <sheetViews>
    <sheetView rightToLeft="1" workbookViewId="0">
      <selection activeCell="C5" sqref="C5"/>
    </sheetView>
  </sheetViews>
  <sheetFormatPr baseColWidth="10" defaultColWidth="8.83203125" defaultRowHeight="13" x14ac:dyDescent="0.15"/>
  <cols>
    <col min="1" max="1" width="11" bestFit="1" customWidth="1"/>
    <col min="2" max="2" width="32.5" bestFit="1" customWidth="1"/>
    <col min="3" max="4" width="12.6640625" bestFit="1" customWidth="1"/>
    <col min="5" max="5" width="11.6640625" bestFit="1" customWidth="1"/>
  </cols>
  <sheetData>
    <row r="2" spans="1:5" x14ac:dyDescent="0.15">
      <c r="C2">
        <v>2013</v>
      </c>
      <c r="D2">
        <v>2012</v>
      </c>
      <c r="E2" t="s">
        <v>1129</v>
      </c>
    </row>
    <row r="3" spans="1:5" x14ac:dyDescent="0.15">
      <c r="A3" t="s">
        <v>277</v>
      </c>
      <c r="B3" t="s">
        <v>543</v>
      </c>
      <c r="C3" s="1"/>
      <c r="D3" s="1"/>
      <c r="E3" s="1"/>
    </row>
    <row r="4" spans="1:5" x14ac:dyDescent="0.15">
      <c r="A4">
        <v>1712300750</v>
      </c>
      <c r="B4" t="s">
        <v>666</v>
      </c>
      <c r="C4" s="1">
        <v>6765000</v>
      </c>
      <c r="D4" s="1">
        <f>VLOOKUP(A4,'לעדכון ראובן'!$A$5:$F$1028,6,FALSE)</f>
        <v>5450000</v>
      </c>
      <c r="E4" s="22">
        <f t="shared" ref="E4:E67" si="0">C4-D4</f>
        <v>1315000</v>
      </c>
    </row>
    <row r="5" spans="1:5" x14ac:dyDescent="0.15">
      <c r="A5">
        <v>1811000440</v>
      </c>
      <c r="B5" t="s">
        <v>558</v>
      </c>
      <c r="C5" s="1">
        <v>1009230</v>
      </c>
      <c r="D5" s="1">
        <f>VLOOKUP(A5,'לעדכון ראובן'!$A$5:$F$1028,6,FALSE)</f>
        <v>361064</v>
      </c>
      <c r="E5" s="22">
        <f t="shared" si="0"/>
        <v>648166</v>
      </c>
    </row>
    <row r="6" spans="1:5" x14ac:dyDescent="0.15">
      <c r="A6">
        <v>1712200751</v>
      </c>
      <c r="B6" t="s">
        <v>656</v>
      </c>
      <c r="C6" s="1">
        <v>6000000</v>
      </c>
      <c r="D6" s="1">
        <f>VLOOKUP(A6,'לעדכון ראובן'!$A$5:$F$1028,6,FALSE)</f>
        <v>5452000</v>
      </c>
      <c r="E6" s="22">
        <f t="shared" si="0"/>
        <v>548000</v>
      </c>
    </row>
    <row r="7" spans="1:5" x14ac:dyDescent="0.15">
      <c r="A7">
        <v>1767000440</v>
      </c>
      <c r="B7" t="s">
        <v>558</v>
      </c>
      <c r="C7" s="1">
        <v>1260690</v>
      </c>
      <c r="D7" s="1">
        <f>VLOOKUP(A7,'לעדכון ראובן'!$A$5:$F$1028,6,FALSE)</f>
        <v>728479</v>
      </c>
      <c r="E7" s="22">
        <f t="shared" si="0"/>
        <v>532211</v>
      </c>
    </row>
    <row r="8" spans="1:5" x14ac:dyDescent="0.15">
      <c r="A8">
        <v>1623000750</v>
      </c>
      <c r="B8" t="s">
        <v>640</v>
      </c>
      <c r="C8" s="1">
        <v>3300000</v>
      </c>
      <c r="D8" s="1">
        <f>VLOOKUP(A8,'לעדכון ראובן'!$A$5:$F$1028,6,FALSE)</f>
        <v>2800000</v>
      </c>
      <c r="E8" s="22">
        <f t="shared" si="0"/>
        <v>500000</v>
      </c>
    </row>
    <row r="9" spans="1:5" x14ac:dyDescent="0.15">
      <c r="A9">
        <v>1743000770</v>
      </c>
      <c r="B9" t="s">
        <v>740</v>
      </c>
      <c r="C9" s="1">
        <v>2863823</v>
      </c>
      <c r="D9" s="1">
        <f>VLOOKUP(A9,'לעדכון ראובן'!$A$5:$F$1028,6,FALSE)</f>
        <v>2380000</v>
      </c>
      <c r="E9" s="22">
        <f t="shared" si="0"/>
        <v>483823</v>
      </c>
    </row>
    <row r="10" spans="1:5" x14ac:dyDescent="0.15">
      <c r="A10">
        <v>1746000430</v>
      </c>
      <c r="B10" t="s">
        <v>751</v>
      </c>
      <c r="C10" s="1">
        <v>1300000</v>
      </c>
      <c r="D10" s="1">
        <f>VLOOKUP(A10,'לעדכון ראובן'!$A$5:$F$1028,6,FALSE)</f>
        <v>970000</v>
      </c>
      <c r="E10" s="22">
        <f t="shared" si="0"/>
        <v>330000</v>
      </c>
    </row>
    <row r="11" spans="1:5" x14ac:dyDescent="0.15">
      <c r="A11">
        <v>1617000441</v>
      </c>
      <c r="B11" t="s">
        <v>594</v>
      </c>
      <c r="C11" s="1">
        <v>400000</v>
      </c>
      <c r="D11" s="1">
        <f>VLOOKUP(A11,'לעדכון ראובן'!$A$5:$F$1028,6,FALSE)</f>
        <v>157000</v>
      </c>
      <c r="E11" s="22">
        <f t="shared" si="0"/>
        <v>243000</v>
      </c>
    </row>
    <row r="12" spans="1:5" x14ac:dyDescent="0.15">
      <c r="A12">
        <v>1711100980</v>
      </c>
      <c r="B12" t="s">
        <v>652</v>
      </c>
      <c r="C12" s="1">
        <v>294000</v>
      </c>
      <c r="D12" s="1">
        <f>VLOOKUP(A12,'לעדכון ראובן'!$A$5:$F$1028,6,FALSE)</f>
        <v>104818</v>
      </c>
      <c r="E12" s="22">
        <f t="shared" si="0"/>
        <v>189182</v>
      </c>
    </row>
    <row r="13" spans="1:5" x14ac:dyDescent="0.15">
      <c r="A13">
        <v>1712300751</v>
      </c>
      <c r="B13" t="s">
        <v>667</v>
      </c>
      <c r="C13" s="1">
        <v>2016000</v>
      </c>
      <c r="D13" s="1">
        <f>VLOOKUP(A13,'לעדכון ראובן'!$A$5:$F$1028,6,FALSE)</f>
        <v>1850000</v>
      </c>
      <c r="E13" s="22">
        <f t="shared" si="0"/>
        <v>166000</v>
      </c>
    </row>
    <row r="14" spans="1:5" x14ac:dyDescent="0.15">
      <c r="A14">
        <v>1617000750</v>
      </c>
      <c r="B14" t="s">
        <v>607</v>
      </c>
      <c r="C14" s="1">
        <v>450000</v>
      </c>
      <c r="D14" s="1">
        <f>VLOOKUP(A14,'לעדכון ראובן'!$A$5:$F$1028,6,FALSE)</f>
        <v>300000</v>
      </c>
      <c r="E14" s="22">
        <f t="shared" si="0"/>
        <v>150000</v>
      </c>
    </row>
    <row r="15" spans="1:5" x14ac:dyDescent="0.15">
      <c r="A15">
        <v>1712300752</v>
      </c>
      <c r="B15" t="s">
        <v>668</v>
      </c>
      <c r="C15" s="1">
        <v>392000</v>
      </c>
      <c r="D15" s="1">
        <f>VLOOKUP(A15,'לעדכון ראובן'!$A$5:$F$1028,6,FALSE)</f>
        <v>255000</v>
      </c>
      <c r="E15" s="22">
        <f t="shared" si="0"/>
        <v>137000</v>
      </c>
    </row>
    <row r="16" spans="1:5" x14ac:dyDescent="0.15">
      <c r="A16">
        <v>1617000500</v>
      </c>
      <c r="B16" t="s">
        <v>596</v>
      </c>
      <c r="C16" s="1">
        <v>150000</v>
      </c>
      <c r="D16" s="1">
        <f>VLOOKUP(A16,'לעדכון ראובן'!$A$5:$F$1028,6,FALSE)</f>
        <v>20000</v>
      </c>
      <c r="E16" s="22">
        <f t="shared" si="0"/>
        <v>130000</v>
      </c>
    </row>
    <row r="17" spans="1:6" x14ac:dyDescent="0.15">
      <c r="A17">
        <v>1712300753</v>
      </c>
      <c r="B17" t="s">
        <v>669</v>
      </c>
      <c r="C17" s="1">
        <v>1000000</v>
      </c>
      <c r="D17" s="1">
        <f>VLOOKUP(A17,'לעדכון ראובן'!$A$5:$F$1028,6,FALSE)</f>
        <v>900000</v>
      </c>
      <c r="E17" s="22">
        <f t="shared" si="0"/>
        <v>100000</v>
      </c>
    </row>
    <row r="18" spans="1:6" x14ac:dyDescent="0.15">
      <c r="A18">
        <v>1746000752</v>
      </c>
      <c r="B18" t="s">
        <v>758</v>
      </c>
      <c r="C18" s="1">
        <v>700000</v>
      </c>
      <c r="D18" s="1">
        <f>VLOOKUP(A18,'לעדכון ראובן'!$A$5:$F$1028,6,FALSE)</f>
        <v>600000</v>
      </c>
      <c r="E18" s="22">
        <f t="shared" si="0"/>
        <v>100000</v>
      </c>
    </row>
    <row r="19" spans="1:6" x14ac:dyDescent="0.15">
      <c r="A19">
        <v>1621500570</v>
      </c>
      <c r="B19" t="s">
        <v>631</v>
      </c>
      <c r="C19" s="1">
        <v>244000</v>
      </c>
      <c r="D19" s="1">
        <f>VLOOKUP(A19,'לעדכון ראובן'!$A$5:$F$1028,6,FALSE)</f>
        <v>167760</v>
      </c>
      <c r="E19" s="1">
        <f t="shared" si="0"/>
        <v>76240</v>
      </c>
    </row>
    <row r="20" spans="1:6" x14ac:dyDescent="0.15">
      <c r="A20">
        <v>1623000530</v>
      </c>
      <c r="B20" t="s">
        <v>636</v>
      </c>
      <c r="C20" s="1">
        <v>69000</v>
      </c>
      <c r="D20" s="1"/>
      <c r="E20" s="1">
        <f t="shared" si="0"/>
        <v>69000</v>
      </c>
      <c r="F20" t="s">
        <v>1111</v>
      </c>
    </row>
    <row r="21" spans="1:6" x14ac:dyDescent="0.15">
      <c r="A21">
        <v>1731100530</v>
      </c>
      <c r="B21" t="s">
        <v>733</v>
      </c>
      <c r="C21" s="1">
        <v>69000</v>
      </c>
      <c r="D21" s="1">
        <f>VLOOKUP(A21,'לעדכון ראובן'!$A$5:$F$1028,6,FALSE)</f>
        <v>0</v>
      </c>
      <c r="E21" s="1">
        <f t="shared" si="0"/>
        <v>69000</v>
      </c>
      <c r="F21" t="s">
        <v>1130</v>
      </c>
    </row>
    <row r="22" spans="1:6" x14ac:dyDescent="0.15">
      <c r="A22">
        <v>1617000442</v>
      </c>
      <c r="B22" t="s">
        <v>595</v>
      </c>
      <c r="C22" s="1">
        <v>200000</v>
      </c>
      <c r="D22" s="1">
        <f>VLOOKUP(A22,'לעדכון ראובן'!$A$5:$F$1028,6,FALSE)</f>
        <v>140000</v>
      </c>
      <c r="E22" s="1">
        <f t="shared" si="0"/>
        <v>60000</v>
      </c>
    </row>
    <row r="23" spans="1:6" x14ac:dyDescent="0.15">
      <c r="A23">
        <v>1746000751</v>
      </c>
      <c r="B23" t="s">
        <v>757</v>
      </c>
      <c r="C23" s="1">
        <v>150000</v>
      </c>
      <c r="D23" s="1">
        <f>VLOOKUP(A23,'לעדכון ראובן'!$A$5:$F$1028,6,FALSE)</f>
        <v>100000</v>
      </c>
      <c r="E23" s="1">
        <f t="shared" si="0"/>
        <v>50000</v>
      </c>
    </row>
    <row r="24" spans="1:6" x14ac:dyDescent="0.15">
      <c r="A24">
        <v>1621300750</v>
      </c>
      <c r="B24" t="s">
        <v>625</v>
      </c>
      <c r="C24" s="1">
        <v>1739000</v>
      </c>
      <c r="D24" s="1">
        <f>VLOOKUP(A24,'לעדכון ראובן'!$A$5:$F$1028,6,FALSE)</f>
        <v>1695544</v>
      </c>
      <c r="E24" s="1">
        <f t="shared" si="0"/>
        <v>43456</v>
      </c>
    </row>
    <row r="25" spans="1:6" x14ac:dyDescent="0.15">
      <c r="A25">
        <v>1724000830</v>
      </c>
      <c r="B25" t="s">
        <v>718</v>
      </c>
      <c r="C25" s="1">
        <v>1380000</v>
      </c>
      <c r="D25" s="1">
        <f>VLOOKUP(A25,'לעדכון ראובן'!$A$5:$F$1028,6,FALSE)</f>
        <v>1338000</v>
      </c>
      <c r="E25" s="1">
        <f t="shared" si="0"/>
        <v>42000</v>
      </c>
    </row>
    <row r="26" spans="1:6" x14ac:dyDescent="0.15">
      <c r="A26">
        <v>1712309731</v>
      </c>
      <c r="B26" t="s">
        <v>676</v>
      </c>
      <c r="C26" s="1">
        <v>80000</v>
      </c>
      <c r="D26" s="1">
        <f>VLOOKUP(A26,'לעדכון ראובן'!$A$5:$F$1028,6,FALSE)</f>
        <v>40000</v>
      </c>
      <c r="E26" s="1">
        <f t="shared" si="0"/>
        <v>40000</v>
      </c>
    </row>
    <row r="27" spans="1:6" x14ac:dyDescent="0.15">
      <c r="A27">
        <v>1742000750</v>
      </c>
      <c r="B27" t="s">
        <v>714</v>
      </c>
      <c r="C27" s="1">
        <v>100000</v>
      </c>
      <c r="D27" s="1">
        <f>VLOOKUP(A27,'לעדכון ראובן'!$A$5:$F$1028,6,FALSE)</f>
        <v>60000</v>
      </c>
      <c r="E27" s="1">
        <f t="shared" si="0"/>
        <v>40000</v>
      </c>
    </row>
    <row r="28" spans="1:6" x14ac:dyDescent="0.15">
      <c r="A28">
        <v>1746000750</v>
      </c>
      <c r="B28" t="s">
        <v>756</v>
      </c>
      <c r="C28" s="1">
        <v>3200000</v>
      </c>
      <c r="D28" s="1">
        <f>VLOOKUP(A28,'לעדכון ראובן'!$A$5:$F$1028,6,FALSE)</f>
        <v>3163000</v>
      </c>
      <c r="E28" s="1">
        <f t="shared" si="0"/>
        <v>37000</v>
      </c>
    </row>
    <row r="29" spans="1:6" x14ac:dyDescent="0.15">
      <c r="A29">
        <v>1712300754</v>
      </c>
      <c r="B29" t="s">
        <v>670</v>
      </c>
      <c r="C29" s="1">
        <v>240000</v>
      </c>
      <c r="D29" s="1">
        <f>VLOOKUP(A29,'לעדכון ראובן'!$A$5:$F$1028,6,FALSE)</f>
        <v>210000</v>
      </c>
      <c r="E29" s="1">
        <f t="shared" si="0"/>
        <v>30000</v>
      </c>
    </row>
    <row r="30" spans="1:6" x14ac:dyDescent="0.15">
      <c r="A30">
        <v>1742000720</v>
      </c>
      <c r="B30" t="s">
        <v>689</v>
      </c>
      <c r="C30" s="1">
        <v>100000</v>
      </c>
      <c r="D30" s="1">
        <f>VLOOKUP(A30,'לעדכון ראובן'!$A$5:$F$1028,6,FALSE)</f>
        <v>70000</v>
      </c>
      <c r="E30" s="1">
        <f t="shared" si="0"/>
        <v>30000</v>
      </c>
    </row>
    <row r="31" spans="1:6" x14ac:dyDescent="0.15">
      <c r="A31">
        <v>1747200780</v>
      </c>
      <c r="B31" t="s">
        <v>773</v>
      </c>
      <c r="C31" s="1">
        <v>870000</v>
      </c>
      <c r="D31" s="1">
        <f>VLOOKUP(A31,'לעדכון ראובן'!$A$5:$F$1028,6,FALSE)</f>
        <v>840000</v>
      </c>
      <c r="E31" s="1">
        <f t="shared" si="0"/>
        <v>30000</v>
      </c>
    </row>
    <row r="32" spans="1:6" x14ac:dyDescent="0.15">
      <c r="A32">
        <v>1746100732</v>
      </c>
      <c r="B32" t="s">
        <v>765</v>
      </c>
      <c r="C32" s="1">
        <v>24000</v>
      </c>
      <c r="D32" s="1">
        <f>VLOOKUP(A32,'לעדכון ראובן'!$A$5:$F$1028,6,FALSE)</f>
        <v>0</v>
      </c>
      <c r="E32" s="1">
        <f t="shared" si="0"/>
        <v>24000</v>
      </c>
    </row>
    <row r="33" spans="1:5" x14ac:dyDescent="0.15">
      <c r="A33">
        <v>1746100733</v>
      </c>
      <c r="B33" t="s">
        <v>766</v>
      </c>
      <c r="C33" s="1">
        <v>22000</v>
      </c>
      <c r="D33" s="1">
        <f>VLOOKUP(A33,'לעדכון ראובן'!$A$5:$F$1028,6,FALSE)</f>
        <v>0</v>
      </c>
      <c r="E33" s="1">
        <f t="shared" si="0"/>
        <v>22000</v>
      </c>
    </row>
    <row r="34" spans="1:5" x14ac:dyDescent="0.15">
      <c r="A34">
        <v>1617000581</v>
      </c>
      <c r="B34" t="s">
        <v>606</v>
      </c>
      <c r="C34" s="1">
        <v>71000</v>
      </c>
      <c r="D34" s="1">
        <f>VLOOKUP(A34,'לעדכון ראובן'!$A$5:$F$1028,6,FALSE)</f>
        <v>50000</v>
      </c>
      <c r="E34" s="1">
        <f t="shared" si="0"/>
        <v>21000</v>
      </c>
    </row>
    <row r="35" spans="1:5" x14ac:dyDescent="0.15">
      <c r="A35">
        <v>1723000810</v>
      </c>
      <c r="B35" t="s">
        <v>715</v>
      </c>
      <c r="C35" s="1">
        <v>240000</v>
      </c>
      <c r="D35" s="1">
        <f>VLOOKUP(A35,'לעדכון ראובן'!$A$5:$F$1028,6,FALSE)</f>
        <v>220000</v>
      </c>
      <c r="E35" s="1">
        <f t="shared" si="0"/>
        <v>20000</v>
      </c>
    </row>
    <row r="36" spans="1:5" x14ac:dyDescent="0.15">
      <c r="A36">
        <v>1747220731</v>
      </c>
      <c r="B36" t="s">
        <v>774</v>
      </c>
      <c r="C36" s="1">
        <v>20000</v>
      </c>
      <c r="D36" s="1">
        <f>VLOOKUP(A36,'לעדכון ראובן'!$A$5:$F$1028,6,FALSE)</f>
        <v>0</v>
      </c>
      <c r="E36" s="1">
        <f t="shared" si="0"/>
        <v>20000</v>
      </c>
    </row>
    <row r="37" spans="1:5" x14ac:dyDescent="0.15">
      <c r="A37">
        <v>1611000980</v>
      </c>
      <c r="B37" t="s">
        <v>556</v>
      </c>
      <c r="C37" s="1">
        <v>150000</v>
      </c>
      <c r="D37" s="1">
        <f>VLOOKUP(A37,'לעדכון ראובן'!$A$5:$F$1028,6,FALSE)</f>
        <v>131595.07999999999</v>
      </c>
      <c r="E37" s="1">
        <f t="shared" si="0"/>
        <v>18404.920000000013</v>
      </c>
    </row>
    <row r="38" spans="1:5" x14ac:dyDescent="0.15">
      <c r="A38">
        <v>1615000760</v>
      </c>
      <c r="B38" t="s">
        <v>552</v>
      </c>
      <c r="C38" s="1">
        <v>18400</v>
      </c>
      <c r="D38" s="1">
        <f>VLOOKUP(A38,'לעדכון ראובן'!$A$5:$F$1028,6,FALSE)</f>
        <v>0</v>
      </c>
      <c r="E38" s="1">
        <f t="shared" si="0"/>
        <v>18400</v>
      </c>
    </row>
    <row r="39" spans="1:5" x14ac:dyDescent="0.15">
      <c r="A39">
        <v>1611000522</v>
      </c>
      <c r="B39" t="s">
        <v>548</v>
      </c>
      <c r="C39" s="1">
        <v>45000</v>
      </c>
      <c r="D39" s="1">
        <f>VLOOKUP(A39,'לעדכון ראובן'!$A$5:$F$1028,6,FALSE)</f>
        <v>27357.52</v>
      </c>
      <c r="E39" s="1">
        <f t="shared" si="0"/>
        <v>17642.48</v>
      </c>
    </row>
    <row r="40" spans="1:5" x14ac:dyDescent="0.15">
      <c r="A40">
        <v>1614001551</v>
      </c>
      <c r="B40" t="s">
        <v>586</v>
      </c>
      <c r="C40" s="1">
        <v>100000</v>
      </c>
      <c r="D40" s="1">
        <f>VLOOKUP(A40,'לעדכון ראובן'!$A$5:$F$1028,6,FALSE)</f>
        <v>83000</v>
      </c>
      <c r="E40" s="1">
        <f t="shared" si="0"/>
        <v>17000</v>
      </c>
    </row>
    <row r="41" spans="1:5" x14ac:dyDescent="0.15">
      <c r="A41">
        <v>1715300750</v>
      </c>
      <c r="B41" t="s">
        <v>695</v>
      </c>
      <c r="C41" s="1">
        <v>65000</v>
      </c>
      <c r="D41" s="1">
        <f>VLOOKUP(A41,'לעדכון ראובן'!$A$5:$F$1028,6,FALSE)</f>
        <v>50000</v>
      </c>
      <c r="E41" s="1">
        <f t="shared" si="0"/>
        <v>15000</v>
      </c>
    </row>
    <row r="42" spans="1:5" x14ac:dyDescent="0.15">
      <c r="A42">
        <v>1746300731</v>
      </c>
      <c r="B42" t="s">
        <v>770</v>
      </c>
      <c r="C42" s="1">
        <v>15000</v>
      </c>
      <c r="D42" s="1">
        <f>VLOOKUP(A42,'לעדכון ראובן'!$A$5:$F$1028,6,FALSE)</f>
        <v>0</v>
      </c>
      <c r="E42" s="1">
        <f t="shared" si="0"/>
        <v>15000</v>
      </c>
    </row>
    <row r="43" spans="1:5" x14ac:dyDescent="0.15">
      <c r="A43">
        <v>1825200430</v>
      </c>
      <c r="B43" t="s">
        <v>853</v>
      </c>
      <c r="C43" s="1">
        <v>80000</v>
      </c>
      <c r="D43" s="1">
        <f>VLOOKUP(A43,'לעדכון ראובן'!$A$5:$F$1028,6,FALSE)</f>
        <v>65000</v>
      </c>
      <c r="E43" s="1">
        <f t="shared" si="0"/>
        <v>15000</v>
      </c>
    </row>
    <row r="44" spans="1:5" x14ac:dyDescent="0.15">
      <c r="A44">
        <v>1623000780</v>
      </c>
      <c r="B44" t="s">
        <v>642</v>
      </c>
      <c r="C44" s="1">
        <v>88000</v>
      </c>
      <c r="D44" s="1">
        <f>VLOOKUP(A44,'לעדכון ראובן'!$A$5:$F$1028,6,FALSE)</f>
        <v>76000</v>
      </c>
      <c r="E44" s="1">
        <f t="shared" si="0"/>
        <v>12000</v>
      </c>
    </row>
    <row r="45" spans="1:5" x14ac:dyDescent="0.15">
      <c r="A45">
        <v>1612000530</v>
      </c>
      <c r="B45" t="s">
        <v>565</v>
      </c>
      <c r="C45" s="1">
        <v>80000</v>
      </c>
      <c r="D45" s="1">
        <f>VLOOKUP(A45,'לעדכון ראובן'!$A$5:$F$1028,6,FALSE)</f>
        <v>69000</v>
      </c>
      <c r="E45" s="1">
        <f t="shared" si="0"/>
        <v>11000</v>
      </c>
    </row>
    <row r="46" spans="1:5" x14ac:dyDescent="0.15">
      <c r="A46">
        <v>1613000530</v>
      </c>
      <c r="B46" t="s">
        <v>575</v>
      </c>
      <c r="C46" s="1">
        <v>80000</v>
      </c>
      <c r="D46" s="1">
        <f>VLOOKUP(A46,'לעדכון ראובן'!$A$5:$F$1028,6,FALSE)</f>
        <v>69000</v>
      </c>
      <c r="E46" s="1">
        <f t="shared" si="0"/>
        <v>11000</v>
      </c>
    </row>
    <row r="47" spans="1:5" x14ac:dyDescent="0.15">
      <c r="A47">
        <v>1621100530</v>
      </c>
      <c r="B47" t="s">
        <v>617</v>
      </c>
      <c r="C47" s="1">
        <v>80000</v>
      </c>
      <c r="D47" s="1">
        <f>VLOOKUP(A47,'לעדכון ראובן'!$A$5:$F$1028,6,FALSE)</f>
        <v>69000</v>
      </c>
      <c r="E47" s="1">
        <f t="shared" si="0"/>
        <v>11000</v>
      </c>
    </row>
    <row r="48" spans="1:5" x14ac:dyDescent="0.15">
      <c r="A48">
        <v>1613000440</v>
      </c>
      <c r="B48" t="s">
        <v>558</v>
      </c>
      <c r="C48" s="1">
        <v>25800</v>
      </c>
      <c r="D48" s="1">
        <f>VLOOKUP(A48,'לעדכון ראובן'!$A$5:$F$1028,6,FALSE)</f>
        <v>14935</v>
      </c>
      <c r="E48" s="1">
        <f t="shared" si="0"/>
        <v>10865</v>
      </c>
    </row>
    <row r="49" spans="1:5" x14ac:dyDescent="0.15">
      <c r="A49">
        <v>1611000511</v>
      </c>
      <c r="B49" t="s">
        <v>544</v>
      </c>
      <c r="C49" s="1">
        <v>60000</v>
      </c>
      <c r="D49" s="1">
        <f>VLOOKUP(A49,'לעדכון ראובן'!$A$5:$F$1028,6,FALSE)</f>
        <v>50000</v>
      </c>
      <c r="E49" s="1">
        <f t="shared" si="0"/>
        <v>10000</v>
      </c>
    </row>
    <row r="50" spans="1:5" x14ac:dyDescent="0.15">
      <c r="A50">
        <v>1614000550</v>
      </c>
      <c r="B50" t="s">
        <v>584</v>
      </c>
      <c r="C50" s="1">
        <v>200000</v>
      </c>
      <c r="D50" s="1">
        <f>VLOOKUP(A50,'לעדכון ראובן'!$A$5:$F$1028,6,FALSE)</f>
        <v>190000</v>
      </c>
      <c r="E50" s="1">
        <f t="shared" si="0"/>
        <v>10000</v>
      </c>
    </row>
    <row r="51" spans="1:5" x14ac:dyDescent="0.15">
      <c r="A51">
        <v>1712300755</v>
      </c>
      <c r="B51" t="s">
        <v>671</v>
      </c>
      <c r="C51" s="1">
        <v>90000</v>
      </c>
      <c r="D51" s="1">
        <f>VLOOKUP(A51,'לעדכון ראובן'!$A$5:$F$1028,6,FALSE)</f>
        <v>80000</v>
      </c>
      <c r="E51" s="1">
        <f t="shared" si="0"/>
        <v>10000</v>
      </c>
    </row>
    <row r="52" spans="1:5" x14ac:dyDescent="0.15">
      <c r="A52">
        <v>1712304731</v>
      </c>
      <c r="B52" t="s">
        <v>673</v>
      </c>
      <c r="C52" s="1">
        <v>225000</v>
      </c>
      <c r="D52" s="1">
        <f>VLOOKUP(A52,'לעדכון ראובן'!$A$5:$F$1028,6,FALSE)</f>
        <v>215000</v>
      </c>
      <c r="E52" s="1">
        <f t="shared" si="0"/>
        <v>10000</v>
      </c>
    </row>
    <row r="53" spans="1:5" x14ac:dyDescent="0.15">
      <c r="A53">
        <v>1938000511</v>
      </c>
      <c r="B53" t="s">
        <v>895</v>
      </c>
      <c r="C53" s="1">
        <v>100000</v>
      </c>
      <c r="D53" s="1">
        <f>VLOOKUP(A53,'לעדכון ראובן'!$A$5:$F$1028,6,FALSE)</f>
        <v>90000</v>
      </c>
      <c r="E53" s="1">
        <f t="shared" si="0"/>
        <v>10000</v>
      </c>
    </row>
    <row r="54" spans="1:5" x14ac:dyDescent="0.15">
      <c r="A54">
        <v>1938000780</v>
      </c>
      <c r="B54" t="s">
        <v>580</v>
      </c>
      <c r="C54" s="1">
        <v>50000</v>
      </c>
      <c r="D54" s="1">
        <f>VLOOKUP(A54,'לעדכון ראובן'!$A$5:$F$1028,6,FALSE)</f>
        <v>40000</v>
      </c>
      <c r="E54" s="1">
        <f t="shared" si="0"/>
        <v>10000</v>
      </c>
    </row>
    <row r="55" spans="1:5" x14ac:dyDescent="0.15">
      <c r="A55">
        <v>1746100720</v>
      </c>
      <c r="B55" t="s">
        <v>763</v>
      </c>
      <c r="C55" s="1">
        <v>300000</v>
      </c>
      <c r="D55" s="1">
        <f>VLOOKUP(A55,'לעדכון ראובן'!$A$5:$F$1028,6,FALSE)</f>
        <v>291516</v>
      </c>
      <c r="E55" s="1">
        <f t="shared" si="0"/>
        <v>8484</v>
      </c>
    </row>
    <row r="56" spans="1:5" x14ac:dyDescent="0.15">
      <c r="A56">
        <v>1611000514</v>
      </c>
      <c r="B56" t="s">
        <v>546</v>
      </c>
      <c r="C56" s="1">
        <v>15000</v>
      </c>
      <c r="D56" s="1">
        <f>VLOOKUP(A56,'לעדכון ראובן'!$A$5:$F$1028,6,FALSE)</f>
        <v>7000</v>
      </c>
      <c r="E56" s="1">
        <f t="shared" si="0"/>
        <v>8000</v>
      </c>
    </row>
    <row r="57" spans="1:5" x14ac:dyDescent="0.15">
      <c r="A57">
        <v>1712200731</v>
      </c>
      <c r="B57" t="s">
        <v>653</v>
      </c>
      <c r="C57" s="1">
        <v>8000</v>
      </c>
      <c r="D57" s="1">
        <f>VLOOKUP(A57,'לעדכון ראובן'!$A$5:$F$1028,6,FALSE)</f>
        <v>0</v>
      </c>
      <c r="E57" s="1">
        <f t="shared" si="0"/>
        <v>8000</v>
      </c>
    </row>
    <row r="58" spans="1:5" x14ac:dyDescent="0.15">
      <c r="A58">
        <v>1712203731</v>
      </c>
      <c r="B58" t="s">
        <v>661</v>
      </c>
      <c r="C58" s="1">
        <v>8000</v>
      </c>
      <c r="D58" s="1">
        <f>VLOOKUP(A58,'לעדכון ראובן'!$A$5:$F$1028,6,FALSE)</f>
        <v>0</v>
      </c>
      <c r="E58" s="1">
        <f t="shared" si="0"/>
        <v>8000</v>
      </c>
    </row>
    <row r="59" spans="1:5" x14ac:dyDescent="0.15">
      <c r="A59">
        <v>1712204731</v>
      </c>
      <c r="B59" t="s">
        <v>662</v>
      </c>
      <c r="C59" s="1">
        <v>8000</v>
      </c>
      <c r="D59" s="1">
        <f>VLOOKUP(A59,'לעדכון ראובן'!$A$5:$F$1028,6,FALSE)</f>
        <v>0</v>
      </c>
      <c r="E59" s="1">
        <f t="shared" si="0"/>
        <v>8000</v>
      </c>
    </row>
    <row r="60" spans="1:5" x14ac:dyDescent="0.15">
      <c r="A60">
        <v>1612000440</v>
      </c>
      <c r="B60" t="s">
        <v>561</v>
      </c>
      <c r="C60" s="1">
        <v>17000</v>
      </c>
      <c r="D60" s="1">
        <f>VLOOKUP(A60,'לעדכון ראובן'!$A$5:$F$1028,6,FALSE)</f>
        <v>10621</v>
      </c>
      <c r="E60" s="1">
        <f t="shared" si="0"/>
        <v>6379</v>
      </c>
    </row>
    <row r="61" spans="1:5" x14ac:dyDescent="0.15">
      <c r="A61">
        <v>1621100440</v>
      </c>
      <c r="B61" t="s">
        <v>610</v>
      </c>
      <c r="C61" s="1">
        <v>17000</v>
      </c>
      <c r="D61" s="1">
        <f>VLOOKUP(A61,'לעדכון ראובן'!$A$5:$F$1028,6,FALSE)</f>
        <v>10621</v>
      </c>
      <c r="E61" s="1">
        <f t="shared" si="0"/>
        <v>6379</v>
      </c>
    </row>
    <row r="62" spans="1:5" x14ac:dyDescent="0.15">
      <c r="A62">
        <v>1823000430</v>
      </c>
      <c r="B62" t="s">
        <v>839</v>
      </c>
      <c r="C62" s="1">
        <v>80000</v>
      </c>
      <c r="D62" s="1">
        <f>VLOOKUP(A62,'לעדכון ראובן'!$A$5:$F$1028,6,FALSE)</f>
        <v>74000</v>
      </c>
      <c r="E62" s="1">
        <f t="shared" si="0"/>
        <v>6000</v>
      </c>
    </row>
    <row r="63" spans="1:5" x14ac:dyDescent="0.15">
      <c r="A63">
        <v>1723000430</v>
      </c>
      <c r="B63" t="s">
        <v>713</v>
      </c>
      <c r="C63" s="1">
        <v>15000</v>
      </c>
      <c r="D63" s="1">
        <f>VLOOKUP(A63,'לעדכון ראובן'!$A$5:$F$1028,6,FALSE)</f>
        <v>9500</v>
      </c>
      <c r="E63" s="1">
        <f t="shared" si="0"/>
        <v>5500</v>
      </c>
    </row>
    <row r="64" spans="1:5" x14ac:dyDescent="0.15">
      <c r="A64">
        <v>1712501731</v>
      </c>
      <c r="B64" t="s">
        <v>684</v>
      </c>
      <c r="C64" s="1">
        <v>31000</v>
      </c>
      <c r="D64" s="1">
        <f>VLOOKUP(A64,'לעדכון ראובן'!$A$5:$F$1028,6,FALSE)</f>
        <v>26000</v>
      </c>
      <c r="E64" s="1">
        <f t="shared" si="0"/>
        <v>5000</v>
      </c>
    </row>
    <row r="65" spans="1:5" x14ac:dyDescent="0.15">
      <c r="A65">
        <v>1722000731</v>
      </c>
      <c r="B65" t="s">
        <v>700</v>
      </c>
      <c r="C65" s="1">
        <v>80000</v>
      </c>
      <c r="D65" s="1">
        <f>VLOOKUP(A65,'לעדכון ראובן'!$A$5:$F$1028,6,FALSE)</f>
        <v>75000</v>
      </c>
      <c r="E65" s="1">
        <f t="shared" si="0"/>
        <v>5000</v>
      </c>
    </row>
    <row r="66" spans="1:5" x14ac:dyDescent="0.15">
      <c r="A66">
        <v>1938000750</v>
      </c>
      <c r="B66" t="s">
        <v>899</v>
      </c>
      <c r="C66" s="1">
        <v>315000</v>
      </c>
      <c r="D66" s="1">
        <f>VLOOKUP(A66,'לעדכון ראובן'!$A$5:$F$1028,6,FALSE)</f>
        <v>310000</v>
      </c>
      <c r="E66" s="1">
        <f t="shared" si="0"/>
        <v>5000</v>
      </c>
    </row>
    <row r="67" spans="1:5" x14ac:dyDescent="0.15">
      <c r="A67">
        <v>1938000980</v>
      </c>
      <c r="B67" t="s">
        <v>580</v>
      </c>
      <c r="C67" s="1">
        <v>45000</v>
      </c>
      <c r="D67" s="1">
        <f>VLOOKUP(A67,'לעדכון ראובן'!$A$5:$F$1028,6,FALSE)</f>
        <v>40000</v>
      </c>
      <c r="E67" s="1">
        <f t="shared" si="0"/>
        <v>5000</v>
      </c>
    </row>
    <row r="68" spans="1:5" x14ac:dyDescent="0.15">
      <c r="A68">
        <v>1781000440</v>
      </c>
      <c r="B68" t="s">
        <v>558</v>
      </c>
      <c r="C68" s="1">
        <v>8800</v>
      </c>
      <c r="D68" s="1">
        <f>VLOOKUP(A68,'לעדכון ראובן'!$A$5:$F$1028,6,FALSE)</f>
        <v>4314</v>
      </c>
      <c r="E68" s="1">
        <f t="shared" ref="E68:E131" si="1">C68-D68</f>
        <v>4486</v>
      </c>
    </row>
    <row r="69" spans="1:5" x14ac:dyDescent="0.15">
      <c r="A69">
        <v>1742000440</v>
      </c>
      <c r="B69" t="s">
        <v>558</v>
      </c>
      <c r="C69" s="1">
        <v>11010</v>
      </c>
      <c r="D69" s="1">
        <f>VLOOKUP(A69,'לעדכון ראובן'!$A$5:$F$1028,6,FALSE)</f>
        <v>6542</v>
      </c>
      <c r="E69" s="1">
        <f t="shared" si="1"/>
        <v>4468</v>
      </c>
    </row>
    <row r="70" spans="1:5" x14ac:dyDescent="0.15">
      <c r="A70">
        <v>1613000980</v>
      </c>
      <c r="B70" t="s">
        <v>580</v>
      </c>
      <c r="C70" s="1">
        <v>34000</v>
      </c>
      <c r="D70" s="1">
        <f>VLOOKUP(A70,'לעדכון ראובן'!$A$5:$F$1028,6,FALSE)</f>
        <v>30000</v>
      </c>
      <c r="E70" s="1">
        <f t="shared" si="1"/>
        <v>4000</v>
      </c>
    </row>
    <row r="71" spans="1:5" x14ac:dyDescent="0.15">
      <c r="A71">
        <v>1623000580</v>
      </c>
      <c r="B71" t="s">
        <v>639</v>
      </c>
      <c r="C71" s="1">
        <v>12000</v>
      </c>
      <c r="D71" s="1">
        <f>VLOOKUP(A71,'לעדכון ראובן'!$A$5:$F$1028,6,FALSE)</f>
        <v>8000</v>
      </c>
      <c r="E71" s="1">
        <f t="shared" si="1"/>
        <v>4000</v>
      </c>
    </row>
    <row r="72" spans="1:5" x14ac:dyDescent="0.15">
      <c r="A72">
        <v>1823000520</v>
      </c>
      <c r="B72" t="s">
        <v>841</v>
      </c>
      <c r="C72" s="1">
        <v>15000</v>
      </c>
      <c r="D72" s="1">
        <f>VLOOKUP(A72,'לעדכון ראובן'!$A$5:$F$1028,6,FALSE)</f>
        <v>11000</v>
      </c>
      <c r="E72" s="1">
        <f t="shared" si="1"/>
        <v>4000</v>
      </c>
    </row>
    <row r="73" spans="1:5" x14ac:dyDescent="0.15">
      <c r="A73">
        <v>1611000523</v>
      </c>
      <c r="B73" t="s">
        <v>549</v>
      </c>
      <c r="C73" s="1">
        <v>4000</v>
      </c>
      <c r="D73" s="1">
        <f>VLOOKUP(A73,'לעדכון ראובן'!$A$5:$F$1028,6,FALSE)</f>
        <v>1000</v>
      </c>
      <c r="E73" s="1">
        <f t="shared" si="1"/>
        <v>3000</v>
      </c>
    </row>
    <row r="74" spans="1:5" x14ac:dyDescent="0.15">
      <c r="A74">
        <v>1611000580</v>
      </c>
      <c r="B74" t="s">
        <v>551</v>
      </c>
      <c r="C74" s="1">
        <v>20000</v>
      </c>
      <c r="D74" s="1">
        <f>VLOOKUP(A74,'לעדכון ראובן'!$A$5:$F$1028,6,FALSE)</f>
        <v>17000</v>
      </c>
      <c r="E74" s="1">
        <f t="shared" si="1"/>
        <v>3000</v>
      </c>
    </row>
    <row r="75" spans="1:5" x14ac:dyDescent="0.15">
      <c r="A75">
        <v>1615000780</v>
      </c>
      <c r="B75" t="s">
        <v>591</v>
      </c>
      <c r="C75" s="1">
        <v>15000</v>
      </c>
      <c r="D75" s="1">
        <f>VLOOKUP(A75,'לעדכון ראובן'!$A$5:$F$1028,6,FALSE)</f>
        <v>12000</v>
      </c>
      <c r="E75" s="1">
        <f t="shared" si="1"/>
        <v>3000</v>
      </c>
    </row>
    <row r="76" spans="1:5" x14ac:dyDescent="0.15">
      <c r="A76">
        <v>1711000760</v>
      </c>
      <c r="B76" t="s">
        <v>552</v>
      </c>
      <c r="C76" s="1">
        <v>19000</v>
      </c>
      <c r="D76" s="1">
        <f>VLOOKUP(A76,'לעדכון ראובן'!$A$5:$F$1028,6,FALSE)</f>
        <v>16000</v>
      </c>
      <c r="E76" s="1">
        <f t="shared" si="1"/>
        <v>3000</v>
      </c>
    </row>
    <row r="77" spans="1:5" x14ac:dyDescent="0.15">
      <c r="A77">
        <v>1761000420</v>
      </c>
      <c r="B77" t="s">
        <v>784</v>
      </c>
      <c r="C77" s="1">
        <v>20000</v>
      </c>
      <c r="D77" s="1">
        <f>VLOOKUP(A77,'לעדכון ראובן'!$A$5:$F$1028,6,FALSE)</f>
        <v>17000</v>
      </c>
      <c r="E77" s="1">
        <f t="shared" si="1"/>
        <v>3000</v>
      </c>
    </row>
    <row r="78" spans="1:5" x14ac:dyDescent="0.15">
      <c r="A78">
        <v>1621300570</v>
      </c>
      <c r="B78" t="s">
        <v>624</v>
      </c>
      <c r="C78" s="1">
        <v>170000</v>
      </c>
      <c r="D78" s="1">
        <f>VLOOKUP(A78,'לעדכון ראובן'!$A$5:$F$1028,6,FALSE)</f>
        <v>167760</v>
      </c>
      <c r="E78" s="1">
        <f t="shared" si="1"/>
        <v>2240</v>
      </c>
    </row>
    <row r="79" spans="1:5" x14ac:dyDescent="0.15">
      <c r="A79">
        <v>1781000750</v>
      </c>
      <c r="B79" t="s">
        <v>714</v>
      </c>
      <c r="C79" s="1">
        <v>70000</v>
      </c>
      <c r="D79" s="1">
        <f>VLOOKUP(A79,'לעדכון ראובן'!$A$5:$F$1028,6,FALSE)</f>
        <v>67900</v>
      </c>
      <c r="E79" s="1">
        <f t="shared" si="1"/>
        <v>2100</v>
      </c>
    </row>
    <row r="80" spans="1:5" x14ac:dyDescent="0.15">
      <c r="A80">
        <v>1611000560</v>
      </c>
      <c r="B80" t="s">
        <v>550</v>
      </c>
      <c r="C80" s="1">
        <v>17000</v>
      </c>
      <c r="D80" s="1">
        <f>VLOOKUP(A80,'לעדכון ראובן'!$A$5:$F$1028,6,FALSE)</f>
        <v>15000</v>
      </c>
      <c r="E80" s="1">
        <f t="shared" si="1"/>
        <v>2000</v>
      </c>
    </row>
    <row r="81" spans="1:5" x14ac:dyDescent="0.15">
      <c r="A81">
        <v>1611000780</v>
      </c>
      <c r="B81" t="s">
        <v>553</v>
      </c>
      <c r="C81" s="1">
        <v>32000</v>
      </c>
      <c r="D81" s="1">
        <f>VLOOKUP(A81,'לעדכון ראובן'!$A$5:$F$1028,6,FALSE)</f>
        <v>30000</v>
      </c>
      <c r="E81" s="1">
        <f t="shared" si="1"/>
        <v>2000</v>
      </c>
    </row>
    <row r="82" spans="1:5" x14ac:dyDescent="0.15">
      <c r="A82">
        <v>1611000930</v>
      </c>
      <c r="B82" t="s">
        <v>554</v>
      </c>
      <c r="C82" s="1">
        <v>22000</v>
      </c>
      <c r="D82" s="1">
        <f>VLOOKUP(A82,'לעדכון ראובן'!$A$5:$F$1028,6,FALSE)</f>
        <v>20000</v>
      </c>
      <c r="E82" s="1">
        <f t="shared" si="1"/>
        <v>2000</v>
      </c>
    </row>
    <row r="83" spans="1:5" x14ac:dyDescent="0.15">
      <c r="A83">
        <v>1611120530</v>
      </c>
      <c r="B83" t="s">
        <v>560</v>
      </c>
      <c r="C83" s="1">
        <v>80000</v>
      </c>
      <c r="D83" s="1">
        <f>VLOOKUP(A83,'לעדכון ראובן'!$A$5:$F$1028,6,FALSE)</f>
        <v>78000</v>
      </c>
      <c r="E83" s="1">
        <f t="shared" si="1"/>
        <v>2000</v>
      </c>
    </row>
    <row r="84" spans="1:5" x14ac:dyDescent="0.15">
      <c r="A84">
        <v>1613000560</v>
      </c>
      <c r="B84" t="s">
        <v>576</v>
      </c>
      <c r="C84" s="1">
        <v>10000</v>
      </c>
      <c r="D84" s="1">
        <f>VLOOKUP(A84,'לעדכון ראובן'!$A$5:$F$1028,6,FALSE)</f>
        <v>8000</v>
      </c>
      <c r="E84" s="1">
        <f t="shared" si="1"/>
        <v>2000</v>
      </c>
    </row>
    <row r="85" spans="1:5" x14ac:dyDescent="0.15">
      <c r="A85">
        <v>1613000580</v>
      </c>
      <c r="B85" t="s">
        <v>577</v>
      </c>
      <c r="C85" s="1">
        <v>10000</v>
      </c>
      <c r="D85" s="1">
        <f>VLOOKUP(A85,'לעדכון ראובן'!$A$5:$F$1028,6,FALSE)</f>
        <v>8000</v>
      </c>
      <c r="E85" s="1">
        <f t="shared" si="1"/>
        <v>2000</v>
      </c>
    </row>
    <row r="86" spans="1:5" x14ac:dyDescent="0.15">
      <c r="A86">
        <v>1613000930</v>
      </c>
      <c r="B86" t="s">
        <v>579</v>
      </c>
      <c r="C86" s="1">
        <v>22000</v>
      </c>
      <c r="D86" s="1">
        <f>VLOOKUP(A86,'לעדכון ראובן'!$A$5:$F$1028,6,FALSE)</f>
        <v>20000</v>
      </c>
      <c r="E86" s="1">
        <f t="shared" si="1"/>
        <v>2000</v>
      </c>
    </row>
    <row r="87" spans="1:5" x14ac:dyDescent="0.15">
      <c r="A87">
        <v>1615000930</v>
      </c>
      <c r="B87" t="s">
        <v>592</v>
      </c>
      <c r="C87" s="1">
        <v>12000</v>
      </c>
      <c r="D87" s="1">
        <f>VLOOKUP(A87,'לעדכון ראובן'!$A$5:$F$1028,6,FALSE)</f>
        <v>10000</v>
      </c>
      <c r="E87" s="1">
        <f t="shared" si="1"/>
        <v>2000</v>
      </c>
    </row>
    <row r="88" spans="1:5" x14ac:dyDescent="0.15">
      <c r="A88">
        <v>1617000560</v>
      </c>
      <c r="B88" t="s">
        <v>604</v>
      </c>
      <c r="C88" s="1">
        <v>12000</v>
      </c>
      <c r="D88" s="1">
        <f>VLOOKUP(A88,'לעדכון ראובן'!$A$5:$F$1028,6,FALSE)</f>
        <v>10000</v>
      </c>
      <c r="E88" s="1">
        <f t="shared" si="1"/>
        <v>2000</v>
      </c>
    </row>
    <row r="89" spans="1:5" x14ac:dyDescent="0.15">
      <c r="A89">
        <v>1714300830</v>
      </c>
      <c r="B89" t="s">
        <v>694</v>
      </c>
      <c r="C89" s="1">
        <v>45000</v>
      </c>
      <c r="D89" s="1">
        <f>VLOOKUP(A89,'לעדכון ראובן'!$A$5:$F$1028,6,FALSE)</f>
        <v>43000</v>
      </c>
      <c r="E89" s="1">
        <f t="shared" si="1"/>
        <v>2000</v>
      </c>
    </row>
    <row r="90" spans="1:5" x14ac:dyDescent="0.15">
      <c r="A90">
        <v>1743003731</v>
      </c>
      <c r="B90" t="s">
        <v>744</v>
      </c>
      <c r="C90" s="1">
        <v>10000</v>
      </c>
      <c r="D90" s="1">
        <f>VLOOKUP(A90,'לעדכון ראובן'!$A$5:$F$1028,6,FALSE)</f>
        <v>8000</v>
      </c>
      <c r="E90" s="1">
        <f t="shared" si="1"/>
        <v>2000</v>
      </c>
    </row>
    <row r="91" spans="1:5" x14ac:dyDescent="0.15">
      <c r="A91">
        <v>1938000422</v>
      </c>
      <c r="B91" t="s">
        <v>893</v>
      </c>
      <c r="C91" s="1">
        <v>10000</v>
      </c>
      <c r="D91" s="1">
        <f>VLOOKUP(A91,'לעדכון ראובן'!$A$5:$F$1028,6,FALSE)</f>
        <v>8000</v>
      </c>
      <c r="E91" s="1">
        <f t="shared" si="1"/>
        <v>2000</v>
      </c>
    </row>
    <row r="92" spans="1:5" x14ac:dyDescent="0.15">
      <c r="A92">
        <v>1938000450</v>
      </c>
      <c r="B92" t="s">
        <v>894</v>
      </c>
      <c r="C92" s="1">
        <v>14000</v>
      </c>
      <c r="D92" s="1">
        <f>VLOOKUP(A92,'לעדכון ראובן'!$A$5:$F$1028,6,FALSE)</f>
        <v>12000</v>
      </c>
      <c r="E92" s="1">
        <f t="shared" si="1"/>
        <v>2000</v>
      </c>
    </row>
    <row r="93" spans="1:5" x14ac:dyDescent="0.15">
      <c r="A93">
        <v>1711000780</v>
      </c>
      <c r="B93" t="s">
        <v>650</v>
      </c>
      <c r="C93" s="1">
        <v>3500</v>
      </c>
      <c r="D93" s="1">
        <f>VLOOKUP(A93,'לעדכון ראובן'!$A$5:$F$1028,6,FALSE)</f>
        <v>1600</v>
      </c>
      <c r="E93" s="1">
        <f t="shared" si="1"/>
        <v>1900</v>
      </c>
    </row>
    <row r="94" spans="1:5" x14ac:dyDescent="0.15">
      <c r="A94">
        <v>1617000521</v>
      </c>
      <c r="B94" t="s">
        <v>599</v>
      </c>
      <c r="C94" s="1">
        <v>14250</v>
      </c>
      <c r="D94" s="1">
        <f>VLOOKUP(A94,'לעדכון ראובן'!$A$5:$F$1028,6,FALSE)</f>
        <v>12850</v>
      </c>
      <c r="E94" s="1">
        <f t="shared" si="1"/>
        <v>1400</v>
      </c>
    </row>
    <row r="95" spans="1:5" x14ac:dyDescent="0.15">
      <c r="A95">
        <v>1623000521</v>
      </c>
      <c r="B95" t="s">
        <v>635</v>
      </c>
      <c r="C95" s="1">
        <v>3600</v>
      </c>
      <c r="D95" s="1">
        <f>VLOOKUP(A95,'לעדכון ראובן'!$A$5:$F$1028,6,FALSE)</f>
        <v>2400</v>
      </c>
      <c r="E95" s="1">
        <f t="shared" si="1"/>
        <v>1200</v>
      </c>
    </row>
    <row r="96" spans="1:5" x14ac:dyDescent="0.15">
      <c r="A96">
        <v>1617000523</v>
      </c>
      <c r="B96" t="s">
        <v>601</v>
      </c>
      <c r="C96" s="1">
        <v>6650</v>
      </c>
      <c r="D96" s="1">
        <f>VLOOKUP(A96,'לעדכון ראובן'!$A$5:$F$1028,6,FALSE)</f>
        <v>5600</v>
      </c>
      <c r="E96" s="1">
        <f t="shared" si="1"/>
        <v>1050</v>
      </c>
    </row>
    <row r="97" spans="1:5" x14ac:dyDescent="0.15">
      <c r="A97">
        <v>1611000512</v>
      </c>
      <c r="B97" t="s">
        <v>545</v>
      </c>
      <c r="C97" s="1">
        <v>6000</v>
      </c>
      <c r="D97" s="1">
        <f>VLOOKUP(A97,'לעדכון ראובן'!$A$5:$F$1028,6,FALSE)</f>
        <v>5000</v>
      </c>
      <c r="E97" s="1">
        <f t="shared" si="1"/>
        <v>1000</v>
      </c>
    </row>
    <row r="98" spans="1:5" x14ac:dyDescent="0.15">
      <c r="A98">
        <v>1615000523</v>
      </c>
      <c r="B98" t="s">
        <v>588</v>
      </c>
      <c r="C98" s="1">
        <v>1000</v>
      </c>
      <c r="D98" s="1">
        <f>VLOOKUP(A98,'לעדכון ראובן'!$A$5:$F$1028,6,FALSE)</f>
        <v>0</v>
      </c>
      <c r="E98" s="1">
        <f t="shared" si="1"/>
        <v>1000</v>
      </c>
    </row>
    <row r="99" spans="1:5" x14ac:dyDescent="0.15">
      <c r="A99">
        <v>1615000560</v>
      </c>
      <c r="B99" t="s">
        <v>589</v>
      </c>
      <c r="C99" s="1">
        <v>4000</v>
      </c>
      <c r="D99" s="1">
        <f>VLOOKUP(A99,'לעדכון ראובן'!$A$5:$F$1028,6,FALSE)</f>
        <v>3000</v>
      </c>
      <c r="E99" s="1">
        <f t="shared" si="1"/>
        <v>1000</v>
      </c>
    </row>
    <row r="100" spans="1:5" x14ac:dyDescent="0.15">
      <c r="A100">
        <v>1761000470</v>
      </c>
      <c r="B100" t="s">
        <v>785</v>
      </c>
      <c r="C100" s="1">
        <v>2500</v>
      </c>
      <c r="D100" s="1">
        <f>VLOOKUP(A100,'לעדכון ראובן'!$A$5:$F$1028,6,FALSE)</f>
        <v>1500</v>
      </c>
      <c r="E100" s="1">
        <f t="shared" si="1"/>
        <v>1000</v>
      </c>
    </row>
    <row r="101" spans="1:5" x14ac:dyDescent="0.15">
      <c r="A101">
        <v>1761000930</v>
      </c>
      <c r="B101" t="s">
        <v>788</v>
      </c>
      <c r="C101" s="1">
        <v>3000</v>
      </c>
      <c r="D101" s="1">
        <f>VLOOKUP(A101,'לעדכון ראובן'!$A$5:$F$1028,6,FALSE)</f>
        <v>2000</v>
      </c>
      <c r="E101" s="1">
        <f t="shared" si="1"/>
        <v>1000</v>
      </c>
    </row>
    <row r="102" spans="1:5" x14ac:dyDescent="0.15">
      <c r="A102">
        <v>1781100743</v>
      </c>
      <c r="B102" t="s">
        <v>815</v>
      </c>
      <c r="C102" s="1">
        <v>31000</v>
      </c>
      <c r="D102" s="1">
        <f>VLOOKUP(A102,'לעדכון ראובן'!$A$5:$F$1028,6,FALSE)</f>
        <v>30000</v>
      </c>
      <c r="E102" s="1">
        <f t="shared" si="1"/>
        <v>1000</v>
      </c>
    </row>
    <row r="103" spans="1:5" x14ac:dyDescent="0.15">
      <c r="A103">
        <v>1938000560</v>
      </c>
      <c r="B103" t="s">
        <v>664</v>
      </c>
      <c r="C103" s="1">
        <v>2000</v>
      </c>
      <c r="D103" s="1">
        <f>VLOOKUP(A103,'לעדכון ראובן'!$A$5:$F$1028,6,FALSE)</f>
        <v>1000</v>
      </c>
      <c r="E103" s="1">
        <f t="shared" si="1"/>
        <v>1000</v>
      </c>
    </row>
    <row r="104" spans="1:5" x14ac:dyDescent="0.15">
      <c r="A104">
        <v>1938000740</v>
      </c>
      <c r="B104" t="s">
        <v>737</v>
      </c>
      <c r="C104" s="1">
        <v>2500</v>
      </c>
      <c r="D104" s="1">
        <f>VLOOKUP(A104,'לעדכון ראובן'!$A$5:$F$1028,6,FALSE)</f>
        <v>1500</v>
      </c>
      <c r="E104" s="1">
        <f t="shared" si="1"/>
        <v>1000</v>
      </c>
    </row>
    <row r="105" spans="1:5" x14ac:dyDescent="0.15">
      <c r="A105">
        <v>1938000751</v>
      </c>
      <c r="B105" t="s">
        <v>714</v>
      </c>
      <c r="C105" s="1">
        <v>13000</v>
      </c>
      <c r="D105" s="1">
        <f>VLOOKUP(A105,'לעדכון ראובן'!$A$5:$F$1028,6,FALSE)</f>
        <v>12000</v>
      </c>
      <c r="E105" s="1">
        <f t="shared" si="1"/>
        <v>1000</v>
      </c>
    </row>
    <row r="106" spans="1:5" x14ac:dyDescent="0.15">
      <c r="A106">
        <v>1939011731</v>
      </c>
      <c r="B106" t="s">
        <v>908</v>
      </c>
      <c r="C106" s="1">
        <v>3000</v>
      </c>
      <c r="D106" s="1">
        <f>VLOOKUP(A106,'לעדכון ראובן'!$A$5:$F$1028,6,FALSE)</f>
        <v>2000</v>
      </c>
      <c r="E106" s="1">
        <f t="shared" si="1"/>
        <v>1000</v>
      </c>
    </row>
    <row r="107" spans="1:5" x14ac:dyDescent="0.15">
      <c r="A107">
        <v>1939013731</v>
      </c>
      <c r="B107" t="s">
        <v>910</v>
      </c>
      <c r="C107" s="1">
        <v>16000</v>
      </c>
      <c r="D107" s="1">
        <f>VLOOKUP(A107,'לעדכון ראובן'!$A$5:$F$1028,6,FALSE)</f>
        <v>15000</v>
      </c>
      <c r="E107" s="1">
        <f t="shared" si="1"/>
        <v>1000</v>
      </c>
    </row>
    <row r="108" spans="1:5" x14ac:dyDescent="0.15">
      <c r="A108">
        <v>1972000780</v>
      </c>
      <c r="B108" t="s">
        <v>913</v>
      </c>
      <c r="C108" s="1">
        <v>1000</v>
      </c>
      <c r="D108" s="1">
        <f>VLOOKUP(A108,'לעדכון ראובן'!$A$5:$F$1028,6,FALSE)</f>
        <v>0</v>
      </c>
      <c r="E108" s="1">
        <f t="shared" si="1"/>
        <v>1000</v>
      </c>
    </row>
    <row r="109" spans="1:5" x14ac:dyDescent="0.15">
      <c r="A109">
        <v>1623000440</v>
      </c>
      <c r="B109" t="s">
        <v>634</v>
      </c>
      <c r="C109" s="1">
        <v>2520</v>
      </c>
      <c r="D109" s="1">
        <f>VLOOKUP(A109,'לעדכון ראובן'!$A$5:$F$1028,6,FALSE)</f>
        <v>1600</v>
      </c>
      <c r="E109" s="1">
        <f t="shared" si="1"/>
        <v>920</v>
      </c>
    </row>
    <row r="110" spans="1:5" x14ac:dyDescent="0.15">
      <c r="A110">
        <v>1617000511</v>
      </c>
      <c r="B110" t="s">
        <v>597</v>
      </c>
      <c r="C110" s="1">
        <v>2100</v>
      </c>
      <c r="D110" s="1">
        <f>VLOOKUP(A110,'לעדכון ראובן'!$A$5:$F$1028,6,FALSE)</f>
        <v>1500</v>
      </c>
      <c r="E110" s="1">
        <f t="shared" si="1"/>
        <v>600</v>
      </c>
    </row>
    <row r="111" spans="1:5" x14ac:dyDescent="0.15">
      <c r="A111">
        <v>1722000980</v>
      </c>
      <c r="B111" t="s">
        <v>580</v>
      </c>
      <c r="C111" s="1">
        <v>5000</v>
      </c>
      <c r="D111" s="1">
        <f>VLOOKUP(A111,'לעדכון ראובן'!$A$5:$F$1028,6,FALSE)</f>
        <v>4400</v>
      </c>
      <c r="E111" s="1">
        <f t="shared" si="1"/>
        <v>600</v>
      </c>
    </row>
    <row r="112" spans="1:5" x14ac:dyDescent="0.15">
      <c r="A112">
        <v>1613000470</v>
      </c>
      <c r="B112" t="s">
        <v>569</v>
      </c>
      <c r="C112" s="1">
        <v>1500</v>
      </c>
      <c r="D112" s="1">
        <f>VLOOKUP(A112,'לעדכון ראובן'!$A$5:$F$1028,6,FALSE)</f>
        <v>1000</v>
      </c>
      <c r="E112" s="1">
        <f t="shared" si="1"/>
        <v>500</v>
      </c>
    </row>
    <row r="113" spans="1:5" x14ac:dyDescent="0.15">
      <c r="A113">
        <v>1617000512</v>
      </c>
      <c r="B113" t="s">
        <v>598</v>
      </c>
      <c r="C113" s="1">
        <v>1500</v>
      </c>
      <c r="D113" s="1">
        <f>VLOOKUP(A113,'לעדכון ראובן'!$A$5:$F$1028,6,FALSE)</f>
        <v>1000</v>
      </c>
      <c r="E113" s="1">
        <f t="shared" si="1"/>
        <v>500</v>
      </c>
    </row>
    <row r="114" spans="1:5" x14ac:dyDescent="0.15">
      <c r="A114">
        <v>1623000560</v>
      </c>
      <c r="B114" t="s">
        <v>637</v>
      </c>
      <c r="C114" s="1">
        <v>3000</v>
      </c>
      <c r="D114" s="1">
        <f>VLOOKUP(A114,'לעדכון ראובן'!$A$5:$F$1028,6,FALSE)</f>
        <v>2500</v>
      </c>
      <c r="E114" s="1">
        <f t="shared" si="1"/>
        <v>500</v>
      </c>
    </row>
    <row r="115" spans="1:5" x14ac:dyDescent="0.15">
      <c r="A115">
        <v>1711000930</v>
      </c>
      <c r="B115" t="s">
        <v>651</v>
      </c>
      <c r="C115" s="1">
        <v>10000</v>
      </c>
      <c r="D115" s="1">
        <f>VLOOKUP(A115,'לעדכון ראובן'!$A$5:$F$1028,6,FALSE)</f>
        <v>9500</v>
      </c>
      <c r="E115" s="1">
        <f t="shared" si="1"/>
        <v>500</v>
      </c>
    </row>
    <row r="116" spans="1:5" x14ac:dyDescent="0.15">
      <c r="A116">
        <v>1714200720</v>
      </c>
      <c r="B116" t="s">
        <v>689</v>
      </c>
      <c r="C116" s="1">
        <v>50000</v>
      </c>
      <c r="D116" s="1">
        <f>VLOOKUP(A116,'לעדכון ראובן'!$A$5:$F$1028,6,FALSE)</f>
        <v>49500</v>
      </c>
      <c r="E116" s="1">
        <f t="shared" si="1"/>
        <v>500</v>
      </c>
    </row>
    <row r="117" spans="1:5" x14ac:dyDescent="0.15">
      <c r="A117">
        <v>1722000430</v>
      </c>
      <c r="B117" t="s">
        <v>696</v>
      </c>
      <c r="C117" s="1">
        <v>45500</v>
      </c>
      <c r="D117" s="1">
        <f>VLOOKUP(A117,'לעדכון ראובן'!$A$5:$F$1028,6,FALSE)</f>
        <v>45000</v>
      </c>
      <c r="E117" s="1">
        <f t="shared" si="1"/>
        <v>500</v>
      </c>
    </row>
    <row r="118" spans="1:5" x14ac:dyDescent="0.15">
      <c r="A118">
        <v>1731100731</v>
      </c>
      <c r="B118" t="s">
        <v>734</v>
      </c>
      <c r="C118" s="1">
        <v>6000</v>
      </c>
      <c r="D118" s="1">
        <f>VLOOKUP(A118,'לעדכון ראובן'!$A$5:$F$1028,6,FALSE)</f>
        <v>5500</v>
      </c>
      <c r="E118" s="1">
        <f t="shared" si="1"/>
        <v>500</v>
      </c>
    </row>
    <row r="119" spans="1:5" x14ac:dyDescent="0.15">
      <c r="A119">
        <v>1746000731</v>
      </c>
      <c r="B119" t="s">
        <v>753</v>
      </c>
      <c r="C119" s="1">
        <v>2000</v>
      </c>
      <c r="D119" s="1">
        <f>VLOOKUP(A119,'לעדכון ראובן'!$A$5:$F$1028,6,FALSE)</f>
        <v>1500</v>
      </c>
      <c r="E119" s="1">
        <f t="shared" si="1"/>
        <v>500</v>
      </c>
    </row>
    <row r="120" spans="1:5" x14ac:dyDescent="0.15">
      <c r="A120">
        <v>1781003731</v>
      </c>
      <c r="B120" t="s">
        <v>811</v>
      </c>
      <c r="C120" s="1">
        <v>2000</v>
      </c>
      <c r="D120" s="1">
        <f>VLOOKUP(A120,'לעדכון ראובן'!$A$5:$F$1028,6,FALSE)</f>
        <v>1500</v>
      </c>
      <c r="E120" s="1">
        <f t="shared" si="1"/>
        <v>500</v>
      </c>
    </row>
    <row r="121" spans="1:5" x14ac:dyDescent="0.15">
      <c r="A121">
        <v>1711000560</v>
      </c>
      <c r="B121" t="s">
        <v>647</v>
      </c>
      <c r="C121" s="1">
        <v>4000</v>
      </c>
      <c r="D121" s="1">
        <f>VLOOKUP(A121,'לעדכון ראובן'!$A$5:$F$1028,6,FALSE)</f>
        <v>3700</v>
      </c>
      <c r="E121" s="1">
        <f t="shared" si="1"/>
        <v>300</v>
      </c>
    </row>
    <row r="122" spans="1:5" x14ac:dyDescent="0.15">
      <c r="A122">
        <v>1781000560</v>
      </c>
      <c r="B122" t="s">
        <v>807</v>
      </c>
      <c r="C122" s="1">
        <v>4300</v>
      </c>
      <c r="D122" s="1">
        <f>VLOOKUP(A122,'לעדכון ראובן'!$A$5:$F$1028,6,FALSE)</f>
        <v>4000</v>
      </c>
      <c r="E122" s="1">
        <f t="shared" si="1"/>
        <v>300</v>
      </c>
    </row>
    <row r="123" spans="1:5" x14ac:dyDescent="0.15">
      <c r="A123">
        <v>1611000760</v>
      </c>
      <c r="B123" t="s">
        <v>552</v>
      </c>
      <c r="C123" s="1">
        <v>38000</v>
      </c>
      <c r="D123" s="1">
        <f>VLOOKUP(A123,'לעדכון ראובן'!$A$5:$F$1028,6,FALSE)</f>
        <v>38000</v>
      </c>
      <c r="E123" s="1">
        <f t="shared" si="1"/>
        <v>0</v>
      </c>
    </row>
    <row r="124" spans="1:5" x14ac:dyDescent="0.15">
      <c r="A124">
        <v>1611000970</v>
      </c>
      <c r="B124" t="s">
        <v>555</v>
      </c>
      <c r="C124" s="1">
        <v>96000</v>
      </c>
      <c r="D124" s="1">
        <f>VLOOKUP(A124,'לעדכון ראובן'!$A$5:$F$1028,6,FALSE)</f>
        <v>96000</v>
      </c>
      <c r="E124" s="1">
        <f t="shared" si="1"/>
        <v>0</v>
      </c>
    </row>
    <row r="125" spans="1:5" x14ac:dyDescent="0.15">
      <c r="A125">
        <v>1611001731</v>
      </c>
      <c r="B125" t="s">
        <v>557</v>
      </c>
      <c r="C125" s="1">
        <v>116000</v>
      </c>
      <c r="D125" s="1">
        <f>VLOOKUP(A125,'לעדכון ראובן'!$A$5:$F$1028,6,FALSE)</f>
        <v>116000</v>
      </c>
      <c r="E125" s="1">
        <f t="shared" si="1"/>
        <v>0</v>
      </c>
    </row>
    <row r="126" spans="1:5" x14ac:dyDescent="0.15">
      <c r="A126">
        <v>1611100441</v>
      </c>
      <c r="B126" t="s">
        <v>558</v>
      </c>
      <c r="C126" s="1">
        <v>25000</v>
      </c>
      <c r="D126" s="1">
        <f>VLOOKUP(A126,'לעדכון ראובן'!$A$5:$F$1028,6,FALSE)</f>
        <v>25000</v>
      </c>
      <c r="E126" s="1">
        <f t="shared" si="1"/>
        <v>0</v>
      </c>
    </row>
    <row r="127" spans="1:5" x14ac:dyDescent="0.15">
      <c r="A127">
        <v>1612000521</v>
      </c>
      <c r="B127" t="s">
        <v>562</v>
      </c>
      <c r="C127" s="1">
        <v>4000</v>
      </c>
      <c r="D127" s="1">
        <f>VLOOKUP(A127,'לעדכון ראובן'!$A$5:$F$1028,6,FALSE)</f>
        <v>4000</v>
      </c>
      <c r="E127" s="1">
        <f t="shared" si="1"/>
        <v>0</v>
      </c>
    </row>
    <row r="128" spans="1:5" x14ac:dyDescent="0.15">
      <c r="A128">
        <v>1612000522</v>
      </c>
      <c r="B128" t="s">
        <v>563</v>
      </c>
      <c r="C128" s="1">
        <v>2000</v>
      </c>
      <c r="D128" s="1">
        <f>VLOOKUP(A128,'לעדכון ראובן'!$A$5:$F$1028,6,FALSE)</f>
        <v>2000</v>
      </c>
      <c r="E128" s="1">
        <f t="shared" si="1"/>
        <v>0</v>
      </c>
    </row>
    <row r="129" spans="1:5" x14ac:dyDescent="0.15">
      <c r="A129">
        <v>1612000560</v>
      </c>
      <c r="B129" t="s">
        <v>566</v>
      </c>
      <c r="C129" s="1">
        <v>1600</v>
      </c>
      <c r="D129" s="1">
        <f>VLOOKUP(A129,'לעדכון ראובן'!$A$5:$F$1028,6,FALSE)</f>
        <v>1600</v>
      </c>
      <c r="E129" s="1">
        <f t="shared" si="1"/>
        <v>0</v>
      </c>
    </row>
    <row r="130" spans="1:5" x14ac:dyDescent="0.15">
      <c r="A130">
        <v>1612000780</v>
      </c>
      <c r="B130" t="s">
        <v>567</v>
      </c>
      <c r="C130">
        <v>500</v>
      </c>
      <c r="D130" s="1">
        <f>VLOOKUP(A130,'לעדכון ראובן'!$A$5:$F$1028,6,FALSE)</f>
        <v>500</v>
      </c>
      <c r="E130" s="1">
        <f t="shared" si="1"/>
        <v>0</v>
      </c>
    </row>
    <row r="131" spans="1:5" x14ac:dyDescent="0.15">
      <c r="A131">
        <v>1612000930</v>
      </c>
      <c r="B131" t="s">
        <v>568</v>
      </c>
      <c r="C131" s="1">
        <v>1500</v>
      </c>
      <c r="D131" s="1">
        <f>VLOOKUP(A131,'לעדכון ראובן'!$A$5:$F$1028,6,FALSE)</f>
        <v>1500</v>
      </c>
      <c r="E131" s="1">
        <f t="shared" si="1"/>
        <v>0</v>
      </c>
    </row>
    <row r="132" spans="1:5" x14ac:dyDescent="0.15">
      <c r="A132">
        <v>1613000512</v>
      </c>
      <c r="B132" t="s">
        <v>570</v>
      </c>
      <c r="C132">
        <v>100</v>
      </c>
      <c r="D132" s="1">
        <f>VLOOKUP(A132,'לעדכון ראובן'!$A$5:$F$1028,6,FALSE)</f>
        <v>100</v>
      </c>
      <c r="E132" s="1">
        <f t="shared" ref="E132:E195" si="2">C132-D132</f>
        <v>0</v>
      </c>
    </row>
    <row r="133" spans="1:5" x14ac:dyDescent="0.15">
      <c r="A133">
        <v>1613000520</v>
      </c>
      <c r="B133" t="s">
        <v>571</v>
      </c>
      <c r="C133" s="1">
        <v>2000</v>
      </c>
      <c r="D133" s="1">
        <f>VLOOKUP(A133,'לעדכון ראובן'!$A$5:$F$1028,6,FALSE)</f>
        <v>2000</v>
      </c>
      <c r="E133" s="1">
        <f t="shared" si="2"/>
        <v>0</v>
      </c>
    </row>
    <row r="134" spans="1:5" x14ac:dyDescent="0.15">
      <c r="A134">
        <v>1613000521</v>
      </c>
      <c r="B134" t="s">
        <v>572</v>
      </c>
      <c r="C134" s="1">
        <v>5000</v>
      </c>
      <c r="D134" s="1">
        <f>VLOOKUP(A134,'לעדכון ראובן'!$A$5:$F$1028,6,FALSE)</f>
        <v>5000</v>
      </c>
      <c r="E134" s="1">
        <f t="shared" si="2"/>
        <v>0</v>
      </c>
    </row>
    <row r="135" spans="1:5" x14ac:dyDescent="0.15">
      <c r="A135">
        <v>1613000522</v>
      </c>
      <c r="B135" t="s">
        <v>573</v>
      </c>
      <c r="C135" s="1">
        <v>5000</v>
      </c>
      <c r="D135" s="1">
        <f>VLOOKUP(A135,'לעדכון ראובן'!$A$5:$F$1028,6,FALSE)</f>
        <v>5000</v>
      </c>
      <c r="E135" s="1">
        <f t="shared" si="2"/>
        <v>0</v>
      </c>
    </row>
    <row r="136" spans="1:5" x14ac:dyDescent="0.15">
      <c r="A136">
        <v>1613000523</v>
      </c>
      <c r="B136" t="s">
        <v>574</v>
      </c>
      <c r="C136" s="1">
        <v>2500</v>
      </c>
      <c r="D136" s="1">
        <f>VLOOKUP(A136,'לעדכון ראובן'!$A$5:$F$1028,6,FALSE)</f>
        <v>2500</v>
      </c>
      <c r="E136" s="1">
        <f t="shared" si="2"/>
        <v>0</v>
      </c>
    </row>
    <row r="137" spans="1:5" x14ac:dyDescent="0.15">
      <c r="A137">
        <v>1613000810</v>
      </c>
      <c r="B137" t="s">
        <v>578</v>
      </c>
      <c r="C137" s="1">
        <v>30000</v>
      </c>
      <c r="D137" s="1">
        <f>VLOOKUP(A137,'לעדכון ראובן'!$A$5:$F$1028,6,FALSE)</f>
        <v>30000</v>
      </c>
      <c r="E137" s="1">
        <f t="shared" si="2"/>
        <v>0</v>
      </c>
    </row>
    <row r="138" spans="1:5" x14ac:dyDescent="0.15">
      <c r="A138">
        <v>1614000470</v>
      </c>
      <c r="B138" t="s">
        <v>581</v>
      </c>
      <c r="C138" s="1">
        <v>1000</v>
      </c>
      <c r="D138" s="1">
        <f>VLOOKUP(A138,'לעדכון ראובן'!$A$5:$F$1028,6,FALSE)</f>
        <v>1000</v>
      </c>
      <c r="E138" s="1">
        <f t="shared" si="2"/>
        <v>0</v>
      </c>
    </row>
    <row r="139" spans="1:5" x14ac:dyDescent="0.15">
      <c r="A139">
        <v>1614000521</v>
      </c>
      <c r="B139" t="s">
        <v>582</v>
      </c>
      <c r="C139" s="1">
        <v>6000</v>
      </c>
      <c r="D139" s="1">
        <f>VLOOKUP(A139,'לעדכון ראובן'!$A$5:$F$1028,6,FALSE)</f>
        <v>6000</v>
      </c>
      <c r="E139" s="1">
        <f t="shared" si="2"/>
        <v>0</v>
      </c>
    </row>
    <row r="140" spans="1:5" x14ac:dyDescent="0.15">
      <c r="A140">
        <v>1614000522</v>
      </c>
      <c r="B140" t="s">
        <v>583</v>
      </c>
      <c r="C140" s="1">
        <v>1500</v>
      </c>
      <c r="D140" s="1">
        <f>VLOOKUP(A140,'לעדכון ראובן'!$A$5:$F$1028,6,FALSE)</f>
        <v>1500</v>
      </c>
      <c r="E140" s="1">
        <f t="shared" si="2"/>
        <v>0</v>
      </c>
    </row>
    <row r="141" spans="1:5" x14ac:dyDescent="0.15">
      <c r="A141">
        <v>1614000930</v>
      </c>
      <c r="B141" t="s">
        <v>585</v>
      </c>
      <c r="C141" s="1">
        <v>2000</v>
      </c>
      <c r="D141" s="1">
        <f>VLOOKUP(A141,'לעדכון ראובן'!$A$5:$F$1028,6,FALSE)</f>
        <v>2000</v>
      </c>
      <c r="E141" s="1">
        <f t="shared" si="2"/>
        <v>0</v>
      </c>
    </row>
    <row r="142" spans="1:5" x14ac:dyDescent="0.15">
      <c r="A142">
        <v>1615000522</v>
      </c>
      <c r="B142" t="s">
        <v>587</v>
      </c>
      <c r="C142" s="1">
        <v>2000</v>
      </c>
      <c r="D142" s="1">
        <f>VLOOKUP(A142,'לעדכון ראובן'!$A$5:$F$1028,6,FALSE)</f>
        <v>2000</v>
      </c>
      <c r="E142" s="1">
        <f t="shared" si="2"/>
        <v>0</v>
      </c>
    </row>
    <row r="143" spans="1:5" x14ac:dyDescent="0.15">
      <c r="A143">
        <v>1615000571</v>
      </c>
      <c r="B143" t="s">
        <v>590</v>
      </c>
      <c r="C143" s="1">
        <v>10000</v>
      </c>
      <c r="D143" s="1">
        <f>VLOOKUP(A143,'לעדכון ראובן'!$A$5:$F$1028,6,FALSE)</f>
        <v>10000</v>
      </c>
      <c r="E143" s="1">
        <f t="shared" si="2"/>
        <v>0</v>
      </c>
    </row>
    <row r="144" spans="1:5" x14ac:dyDescent="0.15">
      <c r="A144">
        <v>1617000440</v>
      </c>
      <c r="B144" t="s">
        <v>593</v>
      </c>
      <c r="C144" s="1">
        <v>36000</v>
      </c>
      <c r="D144" s="1">
        <f>VLOOKUP(A144,'לעדכון ראובן'!$A$5:$F$1028,6,FALSE)</f>
        <v>36000</v>
      </c>
      <c r="E144" s="1">
        <f t="shared" si="2"/>
        <v>0</v>
      </c>
    </row>
    <row r="145" spans="1:5" x14ac:dyDescent="0.15">
      <c r="A145">
        <v>1617000530</v>
      </c>
      <c r="B145" t="s">
        <v>602</v>
      </c>
      <c r="C145" s="1">
        <v>69000</v>
      </c>
      <c r="D145" s="1">
        <f>VLOOKUP(A145,'לעדכון ראובן'!$A$5:$F$1028,6,FALSE)</f>
        <v>69000</v>
      </c>
      <c r="E145" s="1">
        <f t="shared" si="2"/>
        <v>0</v>
      </c>
    </row>
    <row r="146" spans="1:5" x14ac:dyDescent="0.15">
      <c r="A146">
        <v>1617000540</v>
      </c>
      <c r="B146" t="s">
        <v>603</v>
      </c>
      <c r="C146">
        <v>500</v>
      </c>
      <c r="D146" s="1">
        <f>VLOOKUP(A146,'לעדכון ראובן'!$A$5:$F$1028,6,FALSE)</f>
        <v>500</v>
      </c>
      <c r="E146" s="1">
        <f t="shared" si="2"/>
        <v>0</v>
      </c>
    </row>
    <row r="147" spans="1:5" x14ac:dyDescent="0.15">
      <c r="A147">
        <v>1617000760</v>
      </c>
      <c r="B147" t="s">
        <v>552</v>
      </c>
      <c r="C147" s="1">
        <v>3000</v>
      </c>
      <c r="D147" s="1">
        <f>VLOOKUP(A147,'לעדכון ראובן'!$A$5:$F$1028,6,FALSE)</f>
        <v>3000</v>
      </c>
      <c r="E147" s="1">
        <f t="shared" si="2"/>
        <v>0</v>
      </c>
    </row>
    <row r="148" spans="1:5" x14ac:dyDescent="0.15">
      <c r="A148">
        <v>1617000980</v>
      </c>
      <c r="B148" t="s">
        <v>609</v>
      </c>
      <c r="C148" s="1">
        <v>5000</v>
      </c>
      <c r="D148" s="1">
        <f>VLOOKUP(A148,'לעדכון ראובן'!$A$5:$F$1028,6,FALSE)</f>
        <v>5000</v>
      </c>
      <c r="E148" s="1">
        <f t="shared" si="2"/>
        <v>0</v>
      </c>
    </row>
    <row r="149" spans="1:5" x14ac:dyDescent="0.15">
      <c r="A149">
        <v>1621100470</v>
      </c>
      <c r="B149" t="s">
        <v>611</v>
      </c>
      <c r="C149" s="1">
        <v>1400</v>
      </c>
      <c r="D149" s="1">
        <f>VLOOKUP(A149,'לעדכון ראובן'!$A$5:$F$1028,6,FALSE)</f>
        <v>1400</v>
      </c>
      <c r="E149" s="1">
        <f t="shared" si="2"/>
        <v>0</v>
      </c>
    </row>
    <row r="150" spans="1:5" x14ac:dyDescent="0.15">
      <c r="A150">
        <v>1621100511</v>
      </c>
      <c r="B150" t="s">
        <v>612</v>
      </c>
      <c r="C150" s="1">
        <v>1000</v>
      </c>
      <c r="D150" s="1">
        <f>VLOOKUP(A150,'לעדכון ראובן'!$A$5:$F$1028,6,FALSE)</f>
        <v>1000</v>
      </c>
      <c r="E150" s="1">
        <f t="shared" si="2"/>
        <v>0</v>
      </c>
    </row>
    <row r="151" spans="1:5" x14ac:dyDescent="0.15">
      <c r="A151">
        <v>1621100512</v>
      </c>
      <c r="B151" t="s">
        <v>613</v>
      </c>
      <c r="C151" s="1">
        <v>2000</v>
      </c>
      <c r="D151" s="1">
        <f>VLOOKUP(A151,'לעדכון ראובן'!$A$5:$F$1028,6,FALSE)</f>
        <v>2000</v>
      </c>
      <c r="E151" s="1">
        <f t="shared" si="2"/>
        <v>0</v>
      </c>
    </row>
    <row r="152" spans="1:5" x14ac:dyDescent="0.15">
      <c r="A152">
        <v>1621100521</v>
      </c>
      <c r="B152" t="s">
        <v>614</v>
      </c>
      <c r="C152" s="1">
        <v>6000</v>
      </c>
      <c r="D152" s="1">
        <f>VLOOKUP(A152,'לעדכון ראובן'!$A$5:$F$1028,6,FALSE)</f>
        <v>6000</v>
      </c>
      <c r="E152" s="1">
        <f t="shared" si="2"/>
        <v>0</v>
      </c>
    </row>
    <row r="153" spans="1:5" x14ac:dyDescent="0.15">
      <c r="A153">
        <v>1621100523</v>
      </c>
      <c r="B153" t="s">
        <v>616</v>
      </c>
      <c r="C153" s="1">
        <v>3100</v>
      </c>
      <c r="D153" s="1">
        <f>VLOOKUP(A153,'לעדכון ראובן'!$A$5:$F$1028,6,FALSE)</f>
        <v>3100</v>
      </c>
      <c r="E153" s="1">
        <f t="shared" si="2"/>
        <v>0</v>
      </c>
    </row>
    <row r="154" spans="1:5" x14ac:dyDescent="0.15">
      <c r="A154">
        <v>1621100560</v>
      </c>
      <c r="B154" t="s">
        <v>618</v>
      </c>
      <c r="C154" s="1">
        <v>7500</v>
      </c>
      <c r="D154" s="1">
        <f>VLOOKUP(A154,'לעדכון ראובן'!$A$5:$F$1028,6,FALSE)</f>
        <v>7500</v>
      </c>
      <c r="E154" s="1">
        <f t="shared" si="2"/>
        <v>0</v>
      </c>
    </row>
    <row r="155" spans="1:5" x14ac:dyDescent="0.15">
      <c r="A155">
        <v>1621100742</v>
      </c>
      <c r="B155" t="s">
        <v>619</v>
      </c>
      <c r="C155">
        <v>100</v>
      </c>
      <c r="D155" s="1">
        <f>VLOOKUP(A155,'לעדכון ראובן'!$A$5:$F$1028,6,FALSE)</f>
        <v>100</v>
      </c>
      <c r="E155" s="1">
        <f t="shared" si="2"/>
        <v>0</v>
      </c>
    </row>
    <row r="156" spans="1:5" x14ac:dyDescent="0.15">
      <c r="A156">
        <v>1621100760</v>
      </c>
      <c r="B156" t="s">
        <v>552</v>
      </c>
      <c r="C156" s="1">
        <v>17000</v>
      </c>
      <c r="D156" s="1">
        <f>VLOOKUP(A156,'לעדכון ראובן'!$A$5:$F$1028,6,FALSE)</f>
        <v>17000</v>
      </c>
      <c r="E156" s="1">
        <f t="shared" si="2"/>
        <v>0</v>
      </c>
    </row>
    <row r="157" spans="1:5" x14ac:dyDescent="0.15">
      <c r="A157">
        <v>1621100930</v>
      </c>
      <c r="B157" t="s">
        <v>620</v>
      </c>
      <c r="C157" s="1">
        <v>9000</v>
      </c>
      <c r="D157" s="1">
        <f>VLOOKUP(A157,'לעדכון ראובן'!$A$5:$F$1028,6,FALSE)</f>
        <v>9000</v>
      </c>
      <c r="E157" s="1">
        <f t="shared" si="2"/>
        <v>0</v>
      </c>
    </row>
    <row r="158" spans="1:5" x14ac:dyDescent="0.15">
      <c r="A158">
        <v>1621100980</v>
      </c>
      <c r="B158" t="s">
        <v>621</v>
      </c>
      <c r="C158" s="1">
        <v>6900</v>
      </c>
      <c r="D158" s="1">
        <f>VLOOKUP(A158,'לעדכון ראובן'!$A$5:$F$1028,6,FALSE)</f>
        <v>6900</v>
      </c>
      <c r="E158" s="1">
        <f t="shared" si="2"/>
        <v>0</v>
      </c>
    </row>
    <row r="159" spans="1:5" x14ac:dyDescent="0.15">
      <c r="A159">
        <v>1621300560</v>
      </c>
      <c r="B159" t="s">
        <v>623</v>
      </c>
      <c r="C159" s="1">
        <v>9900</v>
      </c>
      <c r="D159" s="1">
        <f>VLOOKUP(A159,'לעדכון ראובן'!$A$5:$F$1028,6,FALSE)</f>
        <v>9900</v>
      </c>
      <c r="E159" s="1">
        <f t="shared" si="2"/>
        <v>0</v>
      </c>
    </row>
    <row r="160" spans="1:5" x14ac:dyDescent="0.15">
      <c r="A160">
        <v>1621300780</v>
      </c>
      <c r="B160" t="s">
        <v>626</v>
      </c>
      <c r="C160" s="1">
        <v>17000</v>
      </c>
      <c r="D160" s="1">
        <f>VLOOKUP(A160,'לעדכון ראובן'!$A$5:$F$1028,6,FALSE)</f>
        <v>17000</v>
      </c>
      <c r="E160" s="1">
        <f t="shared" si="2"/>
        <v>0</v>
      </c>
    </row>
    <row r="161" spans="1:5" x14ac:dyDescent="0.15">
      <c r="A161">
        <v>1621300930</v>
      </c>
      <c r="B161" t="s">
        <v>627</v>
      </c>
      <c r="C161" s="1">
        <v>15000</v>
      </c>
      <c r="D161" s="1">
        <f>VLOOKUP(A161,'לעדכון ראובן'!$A$5:$F$1028,6,FALSE)</f>
        <v>15000</v>
      </c>
      <c r="E161" s="1">
        <f t="shared" si="2"/>
        <v>0</v>
      </c>
    </row>
    <row r="162" spans="1:5" x14ac:dyDescent="0.15">
      <c r="A162">
        <v>1621500521</v>
      </c>
      <c r="B162" t="s">
        <v>628</v>
      </c>
      <c r="C162" s="1">
        <v>4500</v>
      </c>
      <c r="D162" s="1">
        <f>VLOOKUP(A162,'לעדכון ראובן'!$A$5:$F$1028,6,FALSE)</f>
        <v>4500</v>
      </c>
      <c r="E162" s="1">
        <f t="shared" si="2"/>
        <v>0</v>
      </c>
    </row>
    <row r="163" spans="1:5" x14ac:dyDescent="0.15">
      <c r="A163">
        <v>1621500540</v>
      </c>
      <c r="B163" t="s">
        <v>629</v>
      </c>
      <c r="C163" s="1">
        <v>10000</v>
      </c>
      <c r="D163" s="1">
        <f>VLOOKUP(A163,'לעדכון ראובן'!$A$5:$F$1028,6,FALSE)</f>
        <v>10000</v>
      </c>
      <c r="E163" s="1">
        <f t="shared" si="2"/>
        <v>0</v>
      </c>
    </row>
    <row r="164" spans="1:5" x14ac:dyDescent="0.15">
      <c r="A164">
        <v>1621500560</v>
      </c>
      <c r="B164" t="s">
        <v>630</v>
      </c>
      <c r="C164">
        <v>900</v>
      </c>
      <c r="D164" s="1">
        <f>VLOOKUP(A164,'לעדכון ראובן'!$A$5:$F$1028,6,FALSE)</f>
        <v>900</v>
      </c>
      <c r="E164" s="1">
        <f t="shared" si="2"/>
        <v>0</v>
      </c>
    </row>
    <row r="165" spans="1:5" x14ac:dyDescent="0.15">
      <c r="A165">
        <v>1621500780</v>
      </c>
      <c r="B165" t="s">
        <v>632</v>
      </c>
      <c r="C165" s="1">
        <v>2400</v>
      </c>
      <c r="D165" s="1">
        <f>VLOOKUP(A165,'לעדכון ראובן'!$A$5:$F$1028,6,FALSE)</f>
        <v>2400</v>
      </c>
      <c r="E165" s="1">
        <f t="shared" si="2"/>
        <v>0</v>
      </c>
    </row>
    <row r="166" spans="1:5" x14ac:dyDescent="0.15">
      <c r="A166">
        <v>1623000570</v>
      </c>
      <c r="B166" t="s">
        <v>638</v>
      </c>
      <c r="C166" s="1">
        <v>280000</v>
      </c>
      <c r="D166" s="1">
        <f>VLOOKUP(A166,'לעדכון ראובן'!$A$5:$F$1028,6,FALSE)</f>
        <v>280000</v>
      </c>
      <c r="E166" s="1">
        <f t="shared" si="2"/>
        <v>0</v>
      </c>
    </row>
    <row r="167" spans="1:5" x14ac:dyDescent="0.15">
      <c r="A167">
        <v>1711000511</v>
      </c>
      <c r="B167" t="s">
        <v>644</v>
      </c>
      <c r="C167" s="1">
        <v>1800</v>
      </c>
      <c r="D167" s="1">
        <f>VLOOKUP(A167,'לעדכון ראובן'!$A$5:$F$1028,6,FALSE)</f>
        <v>1800</v>
      </c>
      <c r="E167" s="1">
        <f t="shared" si="2"/>
        <v>0</v>
      </c>
    </row>
    <row r="168" spans="1:5" x14ac:dyDescent="0.15">
      <c r="A168">
        <v>1711000512</v>
      </c>
      <c r="B168" t="s">
        <v>645</v>
      </c>
      <c r="C168" s="1">
        <v>1500</v>
      </c>
      <c r="D168" s="1">
        <f>VLOOKUP(A168,'לעדכון ראובן'!$A$5:$F$1028,6,FALSE)</f>
        <v>1500</v>
      </c>
      <c r="E168" s="1">
        <f t="shared" si="2"/>
        <v>0</v>
      </c>
    </row>
    <row r="169" spans="1:5" x14ac:dyDescent="0.15">
      <c r="A169">
        <v>1711000521</v>
      </c>
      <c r="B169" t="s">
        <v>646</v>
      </c>
      <c r="C169" s="1">
        <v>2600</v>
      </c>
      <c r="D169" s="1">
        <f>VLOOKUP(A169,'לעדכון ראובן'!$A$5:$F$1028,6,FALSE)</f>
        <v>2600</v>
      </c>
      <c r="E169" s="1">
        <f t="shared" si="2"/>
        <v>0</v>
      </c>
    </row>
    <row r="170" spans="1:5" x14ac:dyDescent="0.15">
      <c r="A170">
        <v>1711000580</v>
      </c>
      <c r="B170" t="s">
        <v>648</v>
      </c>
      <c r="C170" s="1">
        <v>1000</v>
      </c>
      <c r="D170" s="1">
        <f>VLOOKUP(A170,'לעדכון ראובן'!$A$5:$F$1028,6,FALSE)</f>
        <v>1000</v>
      </c>
      <c r="E170" s="1">
        <f t="shared" si="2"/>
        <v>0</v>
      </c>
    </row>
    <row r="171" spans="1:5" x14ac:dyDescent="0.15">
      <c r="A171">
        <v>1712200740</v>
      </c>
      <c r="B171" t="s">
        <v>654</v>
      </c>
      <c r="C171" s="1">
        <v>10000</v>
      </c>
      <c r="D171" s="1">
        <f>VLOOKUP(A171,'לעדכון ראובן'!$A$5:$F$1028,6,FALSE)</f>
        <v>10000</v>
      </c>
      <c r="E171" s="1">
        <f t="shared" si="2"/>
        <v>0</v>
      </c>
    </row>
    <row r="172" spans="1:5" x14ac:dyDescent="0.15">
      <c r="A172">
        <v>1712200750</v>
      </c>
      <c r="B172" t="s">
        <v>655</v>
      </c>
      <c r="C172" s="1">
        <v>450000</v>
      </c>
      <c r="D172" s="1">
        <f>VLOOKUP(A172,'לעדכון ראובן'!$A$5:$F$1028,6,FALSE)</f>
        <v>450000</v>
      </c>
      <c r="E172" s="1">
        <f t="shared" si="2"/>
        <v>0</v>
      </c>
    </row>
    <row r="173" spans="1:5" x14ac:dyDescent="0.15">
      <c r="A173">
        <v>1712200752</v>
      </c>
      <c r="B173" t="s">
        <v>657</v>
      </c>
      <c r="C173" s="1">
        <v>60000</v>
      </c>
      <c r="D173" s="1">
        <f>VLOOKUP(A173,'לעדכון ראובן'!$A$5:$F$1028,6,FALSE)</f>
        <v>60000</v>
      </c>
      <c r="E173" s="1">
        <f t="shared" si="2"/>
        <v>0</v>
      </c>
    </row>
    <row r="174" spans="1:5" x14ac:dyDescent="0.15">
      <c r="A174">
        <v>1712200753</v>
      </c>
      <c r="B174" t="s">
        <v>658</v>
      </c>
      <c r="C174" s="1">
        <v>8500</v>
      </c>
      <c r="D174" s="1">
        <f>VLOOKUP(A174,'לעדכון ראובן'!$A$5:$F$1028,6,FALSE)</f>
        <v>8500</v>
      </c>
      <c r="E174" s="1">
        <f t="shared" si="2"/>
        <v>0</v>
      </c>
    </row>
    <row r="175" spans="1:5" x14ac:dyDescent="0.15">
      <c r="A175">
        <v>1712201731</v>
      </c>
      <c r="B175" t="s">
        <v>659</v>
      </c>
      <c r="C175" s="1">
        <v>7500</v>
      </c>
      <c r="D175" s="1">
        <f>VLOOKUP(A175,'לעדכון ראובן'!$A$5:$F$1028,6,FALSE)</f>
        <v>7500</v>
      </c>
      <c r="E175" s="1">
        <f t="shared" si="2"/>
        <v>0</v>
      </c>
    </row>
    <row r="176" spans="1:5" x14ac:dyDescent="0.15">
      <c r="A176">
        <v>1712300430</v>
      </c>
      <c r="B176" t="s">
        <v>663</v>
      </c>
      <c r="C176" s="1">
        <v>10000</v>
      </c>
      <c r="D176" s="1">
        <f>VLOOKUP(A176,'לעדכון ראובן'!$A$5:$F$1028,6,FALSE)</f>
        <v>10000</v>
      </c>
      <c r="E176" s="1">
        <f t="shared" si="2"/>
        <v>0</v>
      </c>
    </row>
    <row r="177" spans="1:5" x14ac:dyDescent="0.15">
      <c r="A177">
        <v>1712300560</v>
      </c>
      <c r="B177" t="s">
        <v>664</v>
      </c>
      <c r="C177" s="1">
        <v>2000</v>
      </c>
      <c r="D177" s="1">
        <f>VLOOKUP(A177,'לעדכון ראובן'!$A$5:$F$1028,6,FALSE)</f>
        <v>2000</v>
      </c>
      <c r="E177" s="1">
        <f t="shared" si="2"/>
        <v>0</v>
      </c>
    </row>
    <row r="178" spans="1:5" x14ac:dyDescent="0.15">
      <c r="A178">
        <v>1712300740</v>
      </c>
      <c r="B178" t="s">
        <v>665</v>
      </c>
      <c r="C178" s="1">
        <v>3500</v>
      </c>
      <c r="D178" s="1">
        <f>VLOOKUP(A178,'לעדכון ראובן'!$A$5:$F$1028,6,FALSE)</f>
        <v>3500</v>
      </c>
      <c r="E178" s="1">
        <f t="shared" si="2"/>
        <v>0</v>
      </c>
    </row>
    <row r="179" spans="1:5" x14ac:dyDescent="0.15">
      <c r="A179">
        <v>1712305731</v>
      </c>
      <c r="B179" t="s">
        <v>674</v>
      </c>
      <c r="C179" s="1">
        <v>10000</v>
      </c>
      <c r="D179" s="1">
        <f>VLOOKUP(A179,'לעדכון ראובן'!$A$5:$F$1028,6,FALSE)</f>
        <v>10000</v>
      </c>
      <c r="E179" s="1">
        <f t="shared" si="2"/>
        <v>0</v>
      </c>
    </row>
    <row r="180" spans="1:5" x14ac:dyDescent="0.15">
      <c r="A180">
        <v>1712307731</v>
      </c>
      <c r="B180" t="s">
        <v>675</v>
      </c>
      <c r="C180" s="1">
        <v>4000</v>
      </c>
      <c r="D180" s="1">
        <f>VLOOKUP(A180,'לעדכון ראובן'!$A$5:$F$1028,6,FALSE)</f>
        <v>4000</v>
      </c>
      <c r="E180" s="1">
        <f t="shared" si="2"/>
        <v>0</v>
      </c>
    </row>
    <row r="181" spans="1:5" x14ac:dyDescent="0.15">
      <c r="A181">
        <v>1712311731</v>
      </c>
      <c r="B181" t="s">
        <v>677</v>
      </c>
      <c r="C181" s="1">
        <v>2000</v>
      </c>
      <c r="D181" s="1">
        <f>VLOOKUP(A181,'לעדכון ראובן'!$A$5:$F$1028,6,FALSE)</f>
        <v>2000</v>
      </c>
      <c r="E181" s="1">
        <f t="shared" si="2"/>
        <v>0</v>
      </c>
    </row>
    <row r="182" spans="1:5" x14ac:dyDescent="0.15">
      <c r="A182">
        <v>1712312731</v>
      </c>
      <c r="B182" t="s">
        <v>678</v>
      </c>
      <c r="C182" s="1">
        <v>125000</v>
      </c>
      <c r="D182" s="1">
        <f>VLOOKUP(A182,'לעדכון ראובן'!$A$5:$F$1028,6,FALSE)</f>
        <v>125000</v>
      </c>
      <c r="E182" s="1">
        <f t="shared" si="2"/>
        <v>0</v>
      </c>
    </row>
    <row r="183" spans="1:5" x14ac:dyDescent="0.15">
      <c r="A183">
        <v>1712500750</v>
      </c>
      <c r="B183" t="s">
        <v>682</v>
      </c>
      <c r="C183" s="1">
        <v>1950000</v>
      </c>
      <c r="D183" s="1">
        <f>VLOOKUP(A183,'לעדכון ראובן'!$A$5:$F$1028,6,FALSE)</f>
        <v>1950000</v>
      </c>
      <c r="E183" s="1">
        <f t="shared" si="2"/>
        <v>0</v>
      </c>
    </row>
    <row r="184" spans="1:5" x14ac:dyDescent="0.15">
      <c r="A184">
        <v>1712800731</v>
      </c>
      <c r="B184" t="s">
        <v>685</v>
      </c>
      <c r="C184" s="1">
        <v>12000</v>
      </c>
      <c r="D184" s="1">
        <f>VLOOKUP(A184,'לעדכון ראובן'!$A$5:$F$1028,6,FALSE)</f>
        <v>12000</v>
      </c>
      <c r="E184" s="1">
        <f t="shared" si="2"/>
        <v>0</v>
      </c>
    </row>
    <row r="185" spans="1:5" x14ac:dyDescent="0.15">
      <c r="A185">
        <v>1713000731</v>
      </c>
      <c r="B185" t="s">
        <v>686</v>
      </c>
      <c r="C185" s="1">
        <v>30000</v>
      </c>
      <c r="D185" s="1">
        <f>VLOOKUP(A185,'לעדכון ראובן'!$A$5:$F$1028,6,FALSE)</f>
        <v>30000</v>
      </c>
      <c r="E185" s="1">
        <f t="shared" si="2"/>
        <v>0</v>
      </c>
    </row>
    <row r="186" spans="1:5" x14ac:dyDescent="0.15">
      <c r="A186">
        <v>1714200560</v>
      </c>
      <c r="B186" t="s">
        <v>687</v>
      </c>
      <c r="C186">
        <v>500</v>
      </c>
      <c r="D186" s="1">
        <f>VLOOKUP(A186,'לעדכון ראובן'!$A$5:$F$1028,6,FALSE)</f>
        <v>500</v>
      </c>
      <c r="E186" s="1">
        <f t="shared" si="2"/>
        <v>0</v>
      </c>
    </row>
    <row r="187" spans="1:5" x14ac:dyDescent="0.15">
      <c r="A187">
        <v>1714200731</v>
      </c>
      <c r="B187" t="s">
        <v>690</v>
      </c>
      <c r="C187" s="1">
        <v>30000</v>
      </c>
      <c r="D187" s="1">
        <f>VLOOKUP(A187,'לעדכון ראובן'!$A$5:$F$1028,6,FALSE)</f>
        <v>30000</v>
      </c>
      <c r="E187" s="1">
        <f t="shared" si="2"/>
        <v>0</v>
      </c>
    </row>
    <row r="188" spans="1:5" x14ac:dyDescent="0.15">
      <c r="A188">
        <v>1714200781</v>
      </c>
      <c r="B188" t="s">
        <v>691</v>
      </c>
      <c r="C188" s="1">
        <v>8000</v>
      </c>
      <c r="D188" s="1">
        <f>VLOOKUP(A188,'לעדכון ראובן'!$A$5:$F$1028,6,FALSE)</f>
        <v>8000</v>
      </c>
      <c r="E188" s="1">
        <f t="shared" si="2"/>
        <v>0</v>
      </c>
    </row>
    <row r="189" spans="1:5" x14ac:dyDescent="0.15">
      <c r="A189">
        <v>1714300750</v>
      </c>
      <c r="B189" t="s">
        <v>693</v>
      </c>
      <c r="C189" s="1">
        <v>105000</v>
      </c>
      <c r="D189" s="1">
        <f>VLOOKUP(A189,'לעדכון ראובן'!$A$5:$F$1028,6,FALSE)</f>
        <v>105000</v>
      </c>
      <c r="E189" s="1">
        <f t="shared" si="2"/>
        <v>0</v>
      </c>
    </row>
    <row r="190" spans="1:5" x14ac:dyDescent="0.15">
      <c r="A190">
        <v>1715200720</v>
      </c>
      <c r="B190" t="s">
        <v>689</v>
      </c>
      <c r="C190" s="1">
        <v>90000</v>
      </c>
      <c r="D190" s="1">
        <f>VLOOKUP(A190,'לעדכון ראובן'!$A$5:$F$1028,6,FALSE)</f>
        <v>90000</v>
      </c>
      <c r="E190" s="1">
        <f t="shared" si="2"/>
        <v>0</v>
      </c>
    </row>
    <row r="191" spans="1:5" x14ac:dyDescent="0.15">
      <c r="A191">
        <v>1722000511</v>
      </c>
      <c r="B191" t="s">
        <v>697</v>
      </c>
      <c r="C191" s="1">
        <v>9100</v>
      </c>
      <c r="D191" s="1">
        <f>VLOOKUP(A191,'לעדכון ראובן'!$A$5:$F$1028,6,FALSE)</f>
        <v>9100</v>
      </c>
      <c r="E191" s="1">
        <f t="shared" si="2"/>
        <v>0</v>
      </c>
    </row>
    <row r="192" spans="1:5" x14ac:dyDescent="0.15">
      <c r="A192">
        <v>1722000540</v>
      </c>
      <c r="B192" t="s">
        <v>698</v>
      </c>
      <c r="C192" s="1">
        <v>150000</v>
      </c>
      <c r="D192" s="1">
        <f>VLOOKUP(A192,'לעדכון ראובן'!$A$5:$F$1028,6,FALSE)</f>
        <v>150000</v>
      </c>
      <c r="E192" s="1">
        <f t="shared" si="2"/>
        <v>0</v>
      </c>
    </row>
    <row r="193" spans="1:5" x14ac:dyDescent="0.15">
      <c r="A193">
        <v>1722000550</v>
      </c>
      <c r="B193" t="s">
        <v>699</v>
      </c>
      <c r="C193" s="1">
        <v>9100</v>
      </c>
      <c r="D193" s="1">
        <f>VLOOKUP(A193,'לעדכון ראובן'!$A$5:$F$1028,6,FALSE)</f>
        <v>9100</v>
      </c>
      <c r="E193" s="1">
        <f t="shared" si="2"/>
        <v>0</v>
      </c>
    </row>
    <row r="194" spans="1:5" x14ac:dyDescent="0.15">
      <c r="A194">
        <v>1722000750</v>
      </c>
      <c r="B194" t="s">
        <v>701</v>
      </c>
      <c r="C194" s="1">
        <v>200000</v>
      </c>
      <c r="D194" s="1">
        <f>VLOOKUP(A194,'לעדכון ראובן'!$A$5:$F$1028,6,FALSE)</f>
        <v>200000</v>
      </c>
      <c r="E194" s="1">
        <f t="shared" si="2"/>
        <v>0</v>
      </c>
    </row>
    <row r="195" spans="1:5" x14ac:dyDescent="0.15">
      <c r="A195">
        <v>1722000751</v>
      </c>
      <c r="B195" t="s">
        <v>702</v>
      </c>
      <c r="C195" s="1">
        <v>70000</v>
      </c>
      <c r="D195" s="1">
        <f>VLOOKUP(A195,'לעדכון ראובן'!$A$5:$F$1028,6,FALSE)</f>
        <v>70000</v>
      </c>
      <c r="E195" s="1">
        <f t="shared" si="2"/>
        <v>0</v>
      </c>
    </row>
    <row r="196" spans="1:5" x14ac:dyDescent="0.15">
      <c r="A196">
        <v>1722000752</v>
      </c>
      <c r="B196" t="s">
        <v>703</v>
      </c>
      <c r="C196" s="1">
        <v>260299</v>
      </c>
      <c r="D196" s="1">
        <f>VLOOKUP(A196,'לעדכון ראובן'!$A$5:$F$1028,6,FALSE)</f>
        <v>260299</v>
      </c>
      <c r="E196" s="1">
        <f t="shared" ref="E196:E259" si="3">C196-D196</f>
        <v>0</v>
      </c>
    </row>
    <row r="197" spans="1:5" x14ac:dyDescent="0.15">
      <c r="A197">
        <v>1722000910</v>
      </c>
      <c r="B197" t="s">
        <v>704</v>
      </c>
      <c r="C197" s="1">
        <v>41257</v>
      </c>
      <c r="D197" s="1">
        <f>VLOOKUP(A197,'לעדכון ראובן'!$A$5:$F$1028,6,FALSE)</f>
        <v>41257</v>
      </c>
      <c r="E197" s="1">
        <f t="shared" si="3"/>
        <v>0</v>
      </c>
    </row>
    <row r="198" spans="1:5" x14ac:dyDescent="0.15">
      <c r="A198">
        <v>1722000930</v>
      </c>
      <c r="B198" t="s">
        <v>705</v>
      </c>
      <c r="C198" s="1">
        <v>9500</v>
      </c>
      <c r="D198" s="1">
        <f>VLOOKUP(A198,'לעדכון ראובן'!$A$5:$F$1028,6,FALSE)</f>
        <v>9500</v>
      </c>
      <c r="E198" s="1">
        <f t="shared" si="3"/>
        <v>0</v>
      </c>
    </row>
    <row r="199" spans="1:5" x14ac:dyDescent="0.15">
      <c r="A199">
        <v>1722002731</v>
      </c>
      <c r="B199" t="s">
        <v>707</v>
      </c>
      <c r="C199" s="1">
        <v>90000</v>
      </c>
      <c r="D199" s="1">
        <f>VLOOKUP(A199,'לעדכון ראובן'!$A$5:$F$1028,6,FALSE)</f>
        <v>90000</v>
      </c>
      <c r="E199" s="1">
        <f t="shared" si="3"/>
        <v>0</v>
      </c>
    </row>
    <row r="200" spans="1:5" x14ac:dyDescent="0.15">
      <c r="A200">
        <v>1722003731</v>
      </c>
      <c r="B200" t="s">
        <v>708</v>
      </c>
      <c r="C200" s="1">
        <v>85000</v>
      </c>
      <c r="D200" s="1">
        <f>VLOOKUP(A200,'לעדכון ראובן'!$A$5:$F$1028,6,FALSE)</f>
        <v>85000</v>
      </c>
      <c r="E200" s="1">
        <f t="shared" si="3"/>
        <v>0</v>
      </c>
    </row>
    <row r="201" spans="1:5" x14ac:dyDescent="0.15">
      <c r="A201">
        <v>1722004731</v>
      </c>
      <c r="B201" t="s">
        <v>709</v>
      </c>
      <c r="C201" s="1">
        <v>15000</v>
      </c>
      <c r="D201" s="1">
        <f>VLOOKUP(A201,'לעדכון ראובן'!$A$5:$F$1028,6,FALSE)</f>
        <v>15000</v>
      </c>
      <c r="E201" s="1">
        <f t="shared" si="3"/>
        <v>0</v>
      </c>
    </row>
    <row r="202" spans="1:5" x14ac:dyDescent="0.15">
      <c r="A202">
        <v>1722005731</v>
      </c>
      <c r="B202" t="s">
        <v>710</v>
      </c>
      <c r="C202" s="1">
        <v>15000</v>
      </c>
      <c r="D202" s="1">
        <f>VLOOKUP(A202,'לעדכון ראובן'!$A$5:$F$1028,6,FALSE)</f>
        <v>15000</v>
      </c>
      <c r="E202" s="1">
        <f t="shared" si="3"/>
        <v>0</v>
      </c>
    </row>
    <row r="203" spans="1:5" x14ac:dyDescent="0.15">
      <c r="A203">
        <v>1722006731</v>
      </c>
      <c r="B203" t="s">
        <v>711</v>
      </c>
      <c r="C203" s="1">
        <v>15000</v>
      </c>
      <c r="D203" s="1">
        <f>VLOOKUP(A203,'לעדכון ראובן'!$A$5:$F$1028,6,FALSE)</f>
        <v>15000</v>
      </c>
      <c r="E203" s="1">
        <f t="shared" si="3"/>
        <v>0</v>
      </c>
    </row>
    <row r="204" spans="1:5" x14ac:dyDescent="0.15">
      <c r="A204">
        <v>1722100780</v>
      </c>
      <c r="B204" t="s">
        <v>580</v>
      </c>
      <c r="C204" s="1">
        <v>2100</v>
      </c>
      <c r="D204" s="1">
        <f>VLOOKUP(A204,'לעדכון ראובן'!$A$5:$F$1028,6,FALSE)</f>
        <v>2100</v>
      </c>
      <c r="E204" s="1">
        <f t="shared" si="3"/>
        <v>0</v>
      </c>
    </row>
    <row r="205" spans="1:5" x14ac:dyDescent="0.15">
      <c r="A205">
        <v>1723000420</v>
      </c>
      <c r="B205" t="s">
        <v>712</v>
      </c>
      <c r="C205" s="1">
        <v>50000</v>
      </c>
      <c r="D205" s="1">
        <f>VLOOKUP(A205,'לעדכון ראובן'!$A$5:$F$1028,6,FALSE)</f>
        <v>50000</v>
      </c>
      <c r="E205" s="1">
        <f t="shared" si="3"/>
        <v>0</v>
      </c>
    </row>
    <row r="206" spans="1:5" x14ac:dyDescent="0.15">
      <c r="A206">
        <v>1723000750</v>
      </c>
      <c r="B206" t="s">
        <v>714</v>
      </c>
      <c r="C206" s="1">
        <v>4300</v>
      </c>
      <c r="D206" s="1">
        <f>VLOOKUP(A206,'לעדכון ראובן'!$A$5:$F$1028,6,FALSE)</f>
        <v>4300</v>
      </c>
      <c r="E206" s="1">
        <f t="shared" si="3"/>
        <v>0</v>
      </c>
    </row>
    <row r="207" spans="1:5" x14ac:dyDescent="0.15">
      <c r="A207">
        <v>1723000910</v>
      </c>
      <c r="B207" t="s">
        <v>716</v>
      </c>
      <c r="C207" s="1">
        <v>10000</v>
      </c>
      <c r="D207" s="1">
        <f>VLOOKUP(A207,'לעדכון ראובן'!$A$5:$F$1028,6,FALSE)</f>
        <v>10000</v>
      </c>
      <c r="E207" s="1">
        <f t="shared" si="3"/>
        <v>0</v>
      </c>
    </row>
    <row r="208" spans="1:5" x14ac:dyDescent="0.15">
      <c r="A208">
        <v>1723100810</v>
      </c>
      <c r="B208" t="s">
        <v>717</v>
      </c>
      <c r="C208" s="1">
        <v>35000</v>
      </c>
      <c r="D208" s="1">
        <f>VLOOKUP(A208,'לעדכון ראובן'!$A$5:$F$1028,6,FALSE)</f>
        <v>35000</v>
      </c>
      <c r="E208" s="1">
        <f t="shared" si="3"/>
        <v>0</v>
      </c>
    </row>
    <row r="209" spans="1:5" x14ac:dyDescent="0.15">
      <c r="A209">
        <v>1731000440</v>
      </c>
      <c r="B209" t="s">
        <v>719</v>
      </c>
      <c r="C209" s="1">
        <v>70200</v>
      </c>
      <c r="D209" s="1">
        <f>VLOOKUP(A209,'לעדכון ראובן'!$A$5:$F$1028,6,FALSE)</f>
        <v>70200</v>
      </c>
      <c r="E209" s="1">
        <f t="shared" si="3"/>
        <v>0</v>
      </c>
    </row>
    <row r="210" spans="1:5" x14ac:dyDescent="0.15">
      <c r="A210">
        <v>1731000450</v>
      </c>
      <c r="B210" t="s">
        <v>720</v>
      </c>
      <c r="C210" s="1">
        <v>1000</v>
      </c>
      <c r="D210" s="1">
        <f>VLOOKUP(A210,'לעדכון ראובן'!$A$5:$F$1028,6,FALSE)</f>
        <v>1000</v>
      </c>
      <c r="E210" s="1">
        <f t="shared" si="3"/>
        <v>0</v>
      </c>
    </row>
    <row r="211" spans="1:5" x14ac:dyDescent="0.15">
      <c r="A211">
        <v>1731000511</v>
      </c>
      <c r="B211" t="s">
        <v>721</v>
      </c>
      <c r="C211" s="1">
        <v>2600</v>
      </c>
      <c r="D211" s="1">
        <f>VLOOKUP(A211,'לעדכון ראובן'!$A$5:$F$1028,6,FALSE)</f>
        <v>2600</v>
      </c>
      <c r="E211" s="1">
        <f t="shared" si="3"/>
        <v>0</v>
      </c>
    </row>
    <row r="212" spans="1:5" x14ac:dyDescent="0.15">
      <c r="A212">
        <v>1731000512</v>
      </c>
      <c r="B212" t="s">
        <v>722</v>
      </c>
      <c r="C212" s="1">
        <v>1000</v>
      </c>
      <c r="D212" s="1">
        <f>VLOOKUP(A212,'לעדכון ראובן'!$A$5:$F$1028,6,FALSE)</f>
        <v>1000</v>
      </c>
      <c r="E212" s="1">
        <f t="shared" si="3"/>
        <v>0</v>
      </c>
    </row>
    <row r="213" spans="1:5" x14ac:dyDescent="0.15">
      <c r="A213">
        <v>1731000520</v>
      </c>
      <c r="B213" t="s">
        <v>571</v>
      </c>
      <c r="C213" s="1">
        <v>2200</v>
      </c>
      <c r="D213" s="1">
        <f>VLOOKUP(A213,'לעדכון ראובן'!$A$5:$F$1028,6,FALSE)</f>
        <v>2200</v>
      </c>
      <c r="E213" s="1">
        <f t="shared" si="3"/>
        <v>0</v>
      </c>
    </row>
    <row r="214" spans="1:5" x14ac:dyDescent="0.15">
      <c r="A214">
        <v>1731000521</v>
      </c>
      <c r="B214" t="s">
        <v>646</v>
      </c>
      <c r="C214" s="1">
        <v>8815</v>
      </c>
      <c r="D214" s="1">
        <f>VLOOKUP(A214,'לעדכון ראובן'!$A$5:$F$1028,6,FALSE)</f>
        <v>8815</v>
      </c>
      <c r="E214" s="1">
        <f t="shared" si="3"/>
        <v>0</v>
      </c>
    </row>
    <row r="215" spans="1:5" x14ac:dyDescent="0.15">
      <c r="A215">
        <v>1731000522</v>
      </c>
      <c r="B215" t="s">
        <v>723</v>
      </c>
      <c r="C215" s="1">
        <v>2500</v>
      </c>
      <c r="D215" s="1">
        <f>VLOOKUP(A215,'לעדכון ראובן'!$A$5:$F$1028,6,FALSE)</f>
        <v>2500</v>
      </c>
      <c r="E215" s="1">
        <f t="shared" si="3"/>
        <v>0</v>
      </c>
    </row>
    <row r="216" spans="1:5" x14ac:dyDescent="0.15">
      <c r="A216">
        <v>1731000523</v>
      </c>
      <c r="B216" t="s">
        <v>724</v>
      </c>
      <c r="C216" s="1">
        <v>1600</v>
      </c>
      <c r="D216" s="1">
        <f>VLOOKUP(A216,'לעדכון ראובן'!$A$5:$F$1028,6,FALSE)</f>
        <v>1600</v>
      </c>
      <c r="E216" s="1">
        <f t="shared" si="3"/>
        <v>0</v>
      </c>
    </row>
    <row r="217" spans="1:5" x14ac:dyDescent="0.15">
      <c r="A217">
        <v>1731000530</v>
      </c>
      <c r="B217" t="s">
        <v>725</v>
      </c>
      <c r="C217" s="1">
        <v>69000</v>
      </c>
      <c r="D217" s="1">
        <f>VLOOKUP(A217,'לעדכון ראובן'!$A$5:$F$1028,6,FALSE)</f>
        <v>69000</v>
      </c>
      <c r="E217" s="1">
        <f t="shared" si="3"/>
        <v>0</v>
      </c>
    </row>
    <row r="218" spans="1:5" x14ac:dyDescent="0.15">
      <c r="A218">
        <v>1731000540</v>
      </c>
      <c r="B218" t="s">
        <v>726</v>
      </c>
      <c r="C218">
        <v>200</v>
      </c>
      <c r="D218" s="1">
        <f>VLOOKUP(A218,'לעדכון ראובן'!$A$5:$F$1028,6,FALSE)</f>
        <v>200</v>
      </c>
      <c r="E218" s="1">
        <f t="shared" si="3"/>
        <v>0</v>
      </c>
    </row>
    <row r="219" spans="1:5" x14ac:dyDescent="0.15">
      <c r="A219">
        <v>1731000550</v>
      </c>
      <c r="B219" t="s">
        <v>727</v>
      </c>
      <c r="C219" s="1">
        <v>4000</v>
      </c>
      <c r="D219" s="1">
        <f>VLOOKUP(A219,'לעדכון ראובן'!$A$5:$F$1028,6,FALSE)</f>
        <v>4000</v>
      </c>
      <c r="E219" s="1">
        <f t="shared" si="3"/>
        <v>0</v>
      </c>
    </row>
    <row r="220" spans="1:5" x14ac:dyDescent="0.15">
      <c r="A220">
        <v>1731000560</v>
      </c>
      <c r="B220" t="s">
        <v>728</v>
      </c>
      <c r="C220" s="1">
        <v>16500</v>
      </c>
      <c r="D220" s="1">
        <f>VLOOKUP(A220,'לעדכון ראובן'!$A$5:$F$1028,6,FALSE)</f>
        <v>16500</v>
      </c>
      <c r="E220" s="1">
        <f t="shared" si="3"/>
        <v>0</v>
      </c>
    </row>
    <row r="221" spans="1:5" x14ac:dyDescent="0.15">
      <c r="A221">
        <v>1731000570</v>
      </c>
      <c r="B221" t="s">
        <v>729</v>
      </c>
      <c r="C221" s="1">
        <v>30000</v>
      </c>
      <c r="D221" s="1">
        <f>VLOOKUP(A221,'לעדכון ראובן'!$A$5:$F$1028,6,FALSE)</f>
        <v>30000</v>
      </c>
      <c r="E221" s="1">
        <f t="shared" si="3"/>
        <v>0</v>
      </c>
    </row>
    <row r="222" spans="1:5" x14ac:dyDescent="0.15">
      <c r="A222">
        <v>1731000750</v>
      </c>
      <c r="B222" t="s">
        <v>730</v>
      </c>
      <c r="C222" s="1">
        <v>14500</v>
      </c>
      <c r="D222" s="1">
        <f>VLOOKUP(A222,'לעדכון ראובן'!$A$5:$F$1028,6,FALSE)</f>
        <v>14500</v>
      </c>
      <c r="E222" s="1">
        <f t="shared" si="3"/>
        <v>0</v>
      </c>
    </row>
    <row r="223" spans="1:5" x14ac:dyDescent="0.15">
      <c r="A223">
        <v>1731000760</v>
      </c>
      <c r="B223" t="s">
        <v>552</v>
      </c>
      <c r="C223" s="1">
        <v>37000</v>
      </c>
      <c r="D223" s="1">
        <f>VLOOKUP(A223,'לעדכון ראובן'!$A$5:$F$1028,6,FALSE)</f>
        <v>37000</v>
      </c>
      <c r="E223" s="1">
        <f t="shared" si="3"/>
        <v>0</v>
      </c>
    </row>
    <row r="224" spans="1:5" x14ac:dyDescent="0.15">
      <c r="A224">
        <v>1731000780</v>
      </c>
      <c r="B224" t="s">
        <v>731</v>
      </c>
      <c r="C224" s="1">
        <v>148000</v>
      </c>
      <c r="D224" s="1">
        <f>VLOOKUP(A224,'לעדכון ראובן'!$A$5:$F$1028,6,FALSE)</f>
        <v>148000</v>
      </c>
      <c r="E224" s="1">
        <f t="shared" si="3"/>
        <v>0</v>
      </c>
    </row>
    <row r="225" spans="1:5" x14ac:dyDescent="0.15">
      <c r="A225">
        <v>1731000910</v>
      </c>
      <c r="B225" t="s">
        <v>716</v>
      </c>
      <c r="C225" s="1">
        <v>1185</v>
      </c>
      <c r="D225" s="1">
        <f>VLOOKUP(A225,'לעדכון ראובן'!$A$5:$F$1028,6,FALSE)</f>
        <v>1185</v>
      </c>
      <c r="E225" s="1">
        <f t="shared" si="3"/>
        <v>0</v>
      </c>
    </row>
    <row r="226" spans="1:5" x14ac:dyDescent="0.15">
      <c r="A226">
        <v>1731000930</v>
      </c>
      <c r="B226" t="s">
        <v>732</v>
      </c>
      <c r="C226" s="1">
        <v>5000</v>
      </c>
      <c r="D226" s="1">
        <f>VLOOKUP(A226,'לעדכון ראובן'!$A$5:$F$1028,6,FALSE)</f>
        <v>5000</v>
      </c>
      <c r="E226" s="1">
        <f t="shared" si="3"/>
        <v>0</v>
      </c>
    </row>
    <row r="227" spans="1:5" x14ac:dyDescent="0.15">
      <c r="A227">
        <v>1732000560</v>
      </c>
      <c r="B227" t="s">
        <v>728</v>
      </c>
      <c r="C227" s="1">
        <v>2000</v>
      </c>
      <c r="D227" s="1">
        <f>VLOOKUP(A227,'לעדכון ראובן'!$A$5:$F$1028,6,FALSE)</f>
        <v>2000</v>
      </c>
      <c r="E227" s="1">
        <f t="shared" si="3"/>
        <v>0</v>
      </c>
    </row>
    <row r="228" spans="1:5" x14ac:dyDescent="0.15">
      <c r="A228">
        <v>1732000750</v>
      </c>
      <c r="B228" t="s">
        <v>730</v>
      </c>
      <c r="C228" s="1">
        <v>13000</v>
      </c>
      <c r="D228" s="1">
        <f>VLOOKUP(A228,'לעדכון ראובן'!$A$5:$F$1028,6,FALSE)</f>
        <v>13000</v>
      </c>
      <c r="E228" s="1">
        <f t="shared" si="3"/>
        <v>0</v>
      </c>
    </row>
    <row r="229" spans="1:5" x14ac:dyDescent="0.15">
      <c r="A229">
        <v>1732000780</v>
      </c>
      <c r="B229" t="s">
        <v>731</v>
      </c>
      <c r="C229" s="1">
        <v>62200</v>
      </c>
      <c r="D229" s="1">
        <f>VLOOKUP(A229,'לעדכון ראובן'!$A$5:$F$1028,6,FALSE)</f>
        <v>62200</v>
      </c>
      <c r="E229" s="1">
        <f t="shared" si="3"/>
        <v>0</v>
      </c>
    </row>
    <row r="230" spans="1:5" x14ac:dyDescent="0.15">
      <c r="A230">
        <v>1732000950</v>
      </c>
      <c r="B230" t="s">
        <v>735</v>
      </c>
      <c r="C230" s="1">
        <v>13000</v>
      </c>
      <c r="D230" s="1">
        <f>VLOOKUP(A230,'לעדכון ראובן'!$A$5:$F$1028,6,FALSE)</f>
        <v>13000</v>
      </c>
      <c r="E230" s="1">
        <f t="shared" si="3"/>
        <v>0</v>
      </c>
    </row>
    <row r="231" spans="1:5" x14ac:dyDescent="0.15">
      <c r="A231">
        <v>1733100560</v>
      </c>
      <c r="B231" t="s">
        <v>728</v>
      </c>
      <c r="C231" s="1">
        <v>4500</v>
      </c>
      <c r="D231" s="1">
        <f>VLOOKUP(A231,'לעדכון ראובן'!$A$5:$F$1028,6,FALSE)</f>
        <v>4500</v>
      </c>
      <c r="E231" s="1">
        <f t="shared" si="3"/>
        <v>0</v>
      </c>
    </row>
    <row r="232" spans="1:5" x14ac:dyDescent="0.15">
      <c r="A232">
        <v>1733100780</v>
      </c>
      <c r="B232" t="s">
        <v>731</v>
      </c>
      <c r="C232" s="1">
        <v>2300</v>
      </c>
      <c r="D232" s="1">
        <f>VLOOKUP(A232,'לעדכון ראובן'!$A$5:$F$1028,6,FALSE)</f>
        <v>2300</v>
      </c>
      <c r="E232" s="1">
        <f t="shared" si="3"/>
        <v>0</v>
      </c>
    </row>
    <row r="233" spans="1:5" x14ac:dyDescent="0.15">
      <c r="A233">
        <v>1733100930</v>
      </c>
      <c r="B233" t="s">
        <v>732</v>
      </c>
      <c r="C233" s="1">
        <v>5000</v>
      </c>
      <c r="D233" s="1">
        <f>VLOOKUP(A233,'לעדכון ראובן'!$A$5:$F$1028,6,FALSE)</f>
        <v>5000</v>
      </c>
      <c r="E233" s="1">
        <f t="shared" si="3"/>
        <v>0</v>
      </c>
    </row>
    <row r="234" spans="1:5" x14ac:dyDescent="0.15">
      <c r="A234">
        <v>1733200780</v>
      </c>
      <c r="B234" t="s">
        <v>580</v>
      </c>
      <c r="C234" s="1">
        <v>6000</v>
      </c>
      <c r="D234" s="1">
        <f>VLOOKUP(A234,'לעדכון ראובן'!$A$5:$F$1028,6,FALSE)</f>
        <v>6000</v>
      </c>
      <c r="E234" s="1">
        <f t="shared" si="3"/>
        <v>0</v>
      </c>
    </row>
    <row r="235" spans="1:5" x14ac:dyDescent="0.15">
      <c r="A235">
        <v>1741000750</v>
      </c>
      <c r="B235" t="s">
        <v>736</v>
      </c>
      <c r="C235" s="1">
        <v>100000</v>
      </c>
      <c r="D235" s="1">
        <f>VLOOKUP(A235,'לעדכון ראובן'!$A$5:$F$1028,6,FALSE)</f>
        <v>100000</v>
      </c>
      <c r="E235" s="1">
        <f t="shared" si="3"/>
        <v>0</v>
      </c>
    </row>
    <row r="236" spans="1:5" x14ac:dyDescent="0.15">
      <c r="A236">
        <v>1742000560</v>
      </c>
      <c r="B236" t="s">
        <v>728</v>
      </c>
      <c r="C236" s="1">
        <v>3000</v>
      </c>
      <c r="D236" s="1">
        <f>VLOOKUP(A236,'לעדכון ראובן'!$A$5:$F$1028,6,FALSE)</f>
        <v>3000</v>
      </c>
      <c r="E236" s="1">
        <f t="shared" si="3"/>
        <v>0</v>
      </c>
    </row>
    <row r="237" spans="1:5" x14ac:dyDescent="0.15">
      <c r="A237">
        <v>1742000740</v>
      </c>
      <c r="B237" t="s">
        <v>737</v>
      </c>
      <c r="C237" s="1">
        <v>1700</v>
      </c>
      <c r="D237" s="1">
        <f>VLOOKUP(A237,'לעדכון ראובן'!$A$5:$F$1028,6,FALSE)</f>
        <v>1700</v>
      </c>
      <c r="E237" s="1">
        <f t="shared" si="3"/>
        <v>0</v>
      </c>
    </row>
    <row r="238" spans="1:5" x14ac:dyDescent="0.15">
      <c r="A238">
        <v>1742000910</v>
      </c>
      <c r="B238" t="s">
        <v>738</v>
      </c>
      <c r="C238" s="1">
        <v>160000</v>
      </c>
      <c r="D238" s="1">
        <f>VLOOKUP(A238,'לעדכון ראובן'!$A$5:$F$1028,6,FALSE)</f>
        <v>160000</v>
      </c>
      <c r="E238" s="1">
        <f t="shared" si="3"/>
        <v>0</v>
      </c>
    </row>
    <row r="239" spans="1:5" x14ac:dyDescent="0.15">
      <c r="A239">
        <v>1742000930</v>
      </c>
      <c r="B239" t="s">
        <v>739</v>
      </c>
      <c r="C239" s="1">
        <v>100000</v>
      </c>
      <c r="D239" s="1">
        <f>VLOOKUP(A239,'לעדכון ראובן'!$A$5:$F$1028,6,FALSE)</f>
        <v>100000</v>
      </c>
      <c r="E239" s="1">
        <f t="shared" si="3"/>
        <v>0</v>
      </c>
    </row>
    <row r="240" spans="1:5" x14ac:dyDescent="0.15">
      <c r="A240">
        <v>1743000720</v>
      </c>
      <c r="B240" t="s">
        <v>689</v>
      </c>
      <c r="C240" s="1">
        <v>160000</v>
      </c>
      <c r="D240" s="1">
        <f>VLOOKUP(A240,'לעדכון ראובן'!$A$5:$F$1028,6,FALSE)</f>
        <v>160000</v>
      </c>
      <c r="E240" s="1">
        <f t="shared" si="3"/>
        <v>0</v>
      </c>
    </row>
    <row r="241" spans="1:5" x14ac:dyDescent="0.15">
      <c r="A241">
        <v>1743000740</v>
      </c>
      <c r="B241" t="s">
        <v>737</v>
      </c>
      <c r="C241" s="1">
        <v>35000</v>
      </c>
      <c r="D241" s="1">
        <f>VLOOKUP(A241,'לעדכון ראובן'!$A$5:$F$1028,6,FALSE)</f>
        <v>35000</v>
      </c>
      <c r="E241" s="1">
        <f t="shared" si="3"/>
        <v>0</v>
      </c>
    </row>
    <row r="242" spans="1:5" x14ac:dyDescent="0.15">
      <c r="A242">
        <v>1743000750</v>
      </c>
      <c r="B242" t="s">
        <v>714</v>
      </c>
      <c r="C242" s="1">
        <v>50000</v>
      </c>
      <c r="D242" s="1">
        <f>VLOOKUP(A242,'לעדכון ראובן'!$A$5:$F$1028,6,FALSE)</f>
        <v>50000</v>
      </c>
      <c r="E242" s="1">
        <f t="shared" si="3"/>
        <v>0</v>
      </c>
    </row>
    <row r="243" spans="1:5" x14ac:dyDescent="0.15">
      <c r="A243">
        <v>1743000780</v>
      </c>
      <c r="B243" t="s">
        <v>580</v>
      </c>
      <c r="C243" s="1">
        <v>1300</v>
      </c>
      <c r="D243" s="1">
        <f>VLOOKUP(A243,'לעדכון ראובן'!$A$5:$F$1028,6,FALSE)</f>
        <v>1300</v>
      </c>
      <c r="E243" s="1">
        <f t="shared" si="3"/>
        <v>0</v>
      </c>
    </row>
    <row r="244" spans="1:5" x14ac:dyDescent="0.15">
      <c r="A244">
        <v>1743000910</v>
      </c>
      <c r="B244" t="s">
        <v>741</v>
      </c>
      <c r="C244" s="1">
        <v>54142</v>
      </c>
      <c r="D244" s="1">
        <f>VLOOKUP(A244,'לעדכון ראובן'!$A$5:$F$1028,6,FALSE)</f>
        <v>54142</v>
      </c>
      <c r="E244" s="1">
        <f t="shared" si="3"/>
        <v>0</v>
      </c>
    </row>
    <row r="245" spans="1:5" x14ac:dyDescent="0.15">
      <c r="A245">
        <v>1743001731</v>
      </c>
      <c r="B245" t="s">
        <v>742</v>
      </c>
      <c r="C245" s="1">
        <v>44000</v>
      </c>
      <c r="D245" s="1">
        <f>VLOOKUP(A245,'לעדכון ראובן'!$A$5:$F$1028,6,FALSE)</f>
        <v>44000</v>
      </c>
      <c r="E245" s="1">
        <f t="shared" si="3"/>
        <v>0</v>
      </c>
    </row>
    <row r="246" spans="1:5" x14ac:dyDescent="0.15">
      <c r="A246">
        <v>1743002731</v>
      </c>
      <c r="B246" t="s">
        <v>743</v>
      </c>
      <c r="C246" s="1">
        <v>36000</v>
      </c>
      <c r="D246" s="1">
        <f>VLOOKUP(A246,'לעדכון ראובן'!$A$5:$F$1028,6,FALSE)</f>
        <v>36000</v>
      </c>
      <c r="E246" s="1">
        <f t="shared" si="3"/>
        <v>0</v>
      </c>
    </row>
    <row r="247" spans="1:5" x14ac:dyDescent="0.15">
      <c r="A247">
        <v>1743004731</v>
      </c>
      <c r="B247" t="s">
        <v>745</v>
      </c>
      <c r="C247" s="1">
        <v>5000</v>
      </c>
      <c r="D247" s="1">
        <f>VLOOKUP(A247,'לעדכון ראובן'!$A$5:$F$1028,6,FALSE)</f>
        <v>5000</v>
      </c>
      <c r="E247" s="1">
        <f t="shared" si="3"/>
        <v>0</v>
      </c>
    </row>
    <row r="248" spans="1:5" x14ac:dyDescent="0.15">
      <c r="A248">
        <v>1744000910</v>
      </c>
      <c r="B248" t="s">
        <v>738</v>
      </c>
      <c r="C248" s="1">
        <v>127797</v>
      </c>
      <c r="D248" s="1">
        <f>VLOOKUP(A248,'לעדכון ראובן'!$A$5:$F$1028,6,FALSE)</f>
        <v>127797</v>
      </c>
      <c r="E248" s="1">
        <f t="shared" si="3"/>
        <v>0</v>
      </c>
    </row>
    <row r="249" spans="1:5" x14ac:dyDescent="0.15">
      <c r="A249">
        <v>1744400521</v>
      </c>
      <c r="B249" t="s">
        <v>646</v>
      </c>
      <c r="C249" s="1">
        <v>1000</v>
      </c>
      <c r="D249" s="1">
        <f>VLOOKUP(A249,'לעדכון ראובן'!$A$5:$F$1028,6,FALSE)</f>
        <v>1000</v>
      </c>
      <c r="E249" s="1">
        <f t="shared" si="3"/>
        <v>0</v>
      </c>
    </row>
    <row r="250" spans="1:5" x14ac:dyDescent="0.15">
      <c r="A250">
        <v>1744400522</v>
      </c>
      <c r="B250" t="s">
        <v>748</v>
      </c>
      <c r="C250" s="1">
        <v>1000</v>
      </c>
      <c r="D250" s="1">
        <f>VLOOKUP(A250,'לעדכון ראובן'!$A$5:$F$1028,6,FALSE)</f>
        <v>1000</v>
      </c>
      <c r="E250" s="1">
        <f t="shared" si="3"/>
        <v>0</v>
      </c>
    </row>
    <row r="251" spans="1:5" x14ac:dyDescent="0.15">
      <c r="A251">
        <v>1744400750</v>
      </c>
      <c r="B251" t="s">
        <v>749</v>
      </c>
      <c r="C251" s="1">
        <v>4000</v>
      </c>
      <c r="D251" s="1">
        <f>VLOOKUP(A251,'לעדכון ראובן'!$A$5:$F$1028,6,FALSE)</f>
        <v>4000</v>
      </c>
      <c r="E251" s="1">
        <f t="shared" si="3"/>
        <v>0</v>
      </c>
    </row>
    <row r="252" spans="1:5" x14ac:dyDescent="0.15">
      <c r="A252">
        <v>1745000810</v>
      </c>
      <c r="B252" t="s">
        <v>750</v>
      </c>
      <c r="C252" s="1">
        <v>312851</v>
      </c>
      <c r="D252" s="1">
        <f>VLOOKUP(A252,'לעדכון ראובן'!$A$5:$F$1028,6,FALSE)</f>
        <v>312851</v>
      </c>
      <c r="E252" s="1">
        <f t="shared" si="3"/>
        <v>0</v>
      </c>
    </row>
    <row r="253" spans="1:5" x14ac:dyDescent="0.15">
      <c r="A253">
        <v>1746000720</v>
      </c>
      <c r="B253" t="s">
        <v>752</v>
      </c>
      <c r="C253" s="1">
        <v>100000</v>
      </c>
      <c r="D253" s="1">
        <f>VLOOKUP(A253,'לעדכון ראובן'!$A$5:$F$1028,6,FALSE)</f>
        <v>100000</v>
      </c>
      <c r="E253" s="1">
        <f t="shared" si="3"/>
        <v>0</v>
      </c>
    </row>
    <row r="254" spans="1:5" x14ac:dyDescent="0.15">
      <c r="A254">
        <v>1746000732</v>
      </c>
      <c r="B254" t="s">
        <v>754</v>
      </c>
      <c r="C254" s="1">
        <v>4000</v>
      </c>
      <c r="D254" s="1">
        <f>VLOOKUP(A254,'לעדכון ראובן'!$A$5:$F$1028,6,FALSE)</f>
        <v>4000</v>
      </c>
      <c r="E254" s="1">
        <f t="shared" si="3"/>
        <v>0</v>
      </c>
    </row>
    <row r="255" spans="1:5" x14ac:dyDescent="0.15">
      <c r="A255">
        <v>1746000740</v>
      </c>
      <c r="B255" t="s">
        <v>755</v>
      </c>
      <c r="C255" s="1">
        <v>45000</v>
      </c>
      <c r="D255" s="1">
        <f>VLOOKUP(A255,'לעדכון ראובן'!$A$5:$F$1028,6,FALSE)</f>
        <v>45000</v>
      </c>
      <c r="E255" s="1">
        <f t="shared" si="3"/>
        <v>0</v>
      </c>
    </row>
    <row r="256" spans="1:5" x14ac:dyDescent="0.15">
      <c r="A256">
        <v>1746000770</v>
      </c>
      <c r="B256" t="s">
        <v>759</v>
      </c>
      <c r="C256" s="1">
        <v>15400</v>
      </c>
      <c r="D256" s="1">
        <f>VLOOKUP(A256,'לעדכון ראובן'!$A$5:$F$1028,6,FALSE)</f>
        <v>15400</v>
      </c>
      <c r="E256" s="1">
        <f t="shared" si="3"/>
        <v>0</v>
      </c>
    </row>
    <row r="257" spans="1:5" x14ac:dyDescent="0.15">
      <c r="A257">
        <v>1746000780</v>
      </c>
      <c r="B257" t="s">
        <v>760</v>
      </c>
      <c r="C257" s="1">
        <v>18000</v>
      </c>
      <c r="D257" s="1">
        <f>VLOOKUP(A257,'לעדכון ראובן'!$A$5:$F$1028,6,FALSE)</f>
        <v>18000</v>
      </c>
      <c r="E257" s="1">
        <f t="shared" si="3"/>
        <v>0</v>
      </c>
    </row>
    <row r="258" spans="1:5" x14ac:dyDescent="0.15">
      <c r="A258">
        <v>1746000931</v>
      </c>
      <c r="B258" t="s">
        <v>761</v>
      </c>
      <c r="C258" s="1">
        <v>38000</v>
      </c>
      <c r="D258" s="1">
        <f>VLOOKUP(A258,'לעדכון ראובן'!$A$5:$F$1028,6,FALSE)</f>
        <v>38000</v>
      </c>
      <c r="E258" s="1">
        <f t="shared" si="3"/>
        <v>0</v>
      </c>
    </row>
    <row r="259" spans="1:5" x14ac:dyDescent="0.15">
      <c r="A259">
        <v>1746100560</v>
      </c>
      <c r="B259" t="s">
        <v>762</v>
      </c>
      <c r="C259" s="1">
        <v>4000</v>
      </c>
      <c r="D259" s="1">
        <f>VLOOKUP(A259,'לעדכון ראובן'!$A$5:$F$1028,6,FALSE)</f>
        <v>4000</v>
      </c>
      <c r="E259" s="1">
        <f t="shared" si="3"/>
        <v>0</v>
      </c>
    </row>
    <row r="260" spans="1:5" x14ac:dyDescent="0.15">
      <c r="A260">
        <v>1746100740</v>
      </c>
      <c r="B260" t="s">
        <v>767</v>
      </c>
      <c r="C260" s="1">
        <v>21000</v>
      </c>
      <c r="D260" s="1">
        <f>VLOOKUP(A260,'לעדכון ראובן'!$A$5:$F$1028,6,FALSE)</f>
        <v>21000</v>
      </c>
      <c r="E260" s="1">
        <f t="shared" ref="E260:E323" si="4">C260-D260</f>
        <v>0</v>
      </c>
    </row>
    <row r="261" spans="1:5" x14ac:dyDescent="0.15">
      <c r="A261">
        <v>1746100780</v>
      </c>
      <c r="B261" t="s">
        <v>768</v>
      </c>
      <c r="C261" s="1">
        <v>4500</v>
      </c>
      <c r="D261" s="1">
        <f>VLOOKUP(A261,'לעדכון ראובן'!$A$5:$F$1028,6,FALSE)</f>
        <v>4500</v>
      </c>
      <c r="E261" s="1">
        <f t="shared" si="4"/>
        <v>0</v>
      </c>
    </row>
    <row r="262" spans="1:5" x14ac:dyDescent="0.15">
      <c r="A262">
        <v>1746200731</v>
      </c>
      <c r="B262" t="s">
        <v>769</v>
      </c>
      <c r="C262" s="1">
        <v>14000</v>
      </c>
      <c r="D262" s="1">
        <f>VLOOKUP(A262,'לעדכון ראובן'!$A$5:$F$1028,6,FALSE)</f>
        <v>14000</v>
      </c>
      <c r="E262" s="1">
        <f t="shared" si="4"/>
        <v>0</v>
      </c>
    </row>
    <row r="263" spans="1:5" x14ac:dyDescent="0.15">
      <c r="A263">
        <v>1747200432</v>
      </c>
      <c r="B263" t="s">
        <v>772</v>
      </c>
      <c r="C263" s="1">
        <v>65000</v>
      </c>
      <c r="D263" s="1">
        <f>VLOOKUP(A263,'לעדכון ראובן'!$A$5:$F$1028,6,FALSE)</f>
        <v>65000</v>
      </c>
      <c r="E263" s="1">
        <f t="shared" si="4"/>
        <v>0</v>
      </c>
    </row>
    <row r="264" spans="1:5" x14ac:dyDescent="0.15">
      <c r="A264">
        <v>1751000780</v>
      </c>
      <c r="B264" t="s">
        <v>776</v>
      </c>
      <c r="C264" s="1">
        <v>815500</v>
      </c>
      <c r="D264" s="1">
        <f>VLOOKUP(A264,'לעדכון ראובן'!$A$5:$F$1028,6,FALSE)</f>
        <v>815500</v>
      </c>
      <c r="E264" s="1">
        <f t="shared" si="4"/>
        <v>0</v>
      </c>
    </row>
    <row r="265" spans="1:5" x14ac:dyDescent="0.15">
      <c r="A265">
        <v>1751001780</v>
      </c>
      <c r="B265" t="s">
        <v>778</v>
      </c>
      <c r="C265" s="1">
        <v>250000</v>
      </c>
      <c r="D265" s="1">
        <f>VLOOKUP(A265,'לעדכון ראובן'!$A$5:$F$1028,6,FALSE)</f>
        <v>250000</v>
      </c>
      <c r="E265" s="1">
        <f t="shared" si="4"/>
        <v>0</v>
      </c>
    </row>
    <row r="266" spans="1:5" x14ac:dyDescent="0.15">
      <c r="A266">
        <v>1751002780</v>
      </c>
      <c r="B266" t="s">
        <v>780</v>
      </c>
      <c r="C266" s="1">
        <v>355000</v>
      </c>
      <c r="D266" s="1">
        <f>VLOOKUP(A266,'לעדכון ראובן'!$A$5:$F$1028,6,FALSE)</f>
        <v>355000</v>
      </c>
      <c r="E266" s="1">
        <f t="shared" si="4"/>
        <v>0</v>
      </c>
    </row>
    <row r="267" spans="1:5" x14ac:dyDescent="0.15">
      <c r="A267">
        <v>1751150780</v>
      </c>
      <c r="B267" t="s">
        <v>782</v>
      </c>
      <c r="C267" s="1">
        <v>500000</v>
      </c>
      <c r="D267" s="1">
        <f>VLOOKUP(A267,'לעדכון ראובן'!$A$5:$F$1028,6,FALSE)</f>
        <v>500000</v>
      </c>
      <c r="E267" s="1">
        <f t="shared" si="4"/>
        <v>0</v>
      </c>
    </row>
    <row r="268" spans="1:5" x14ac:dyDescent="0.15">
      <c r="A268">
        <v>1752100810</v>
      </c>
      <c r="B268" t="s">
        <v>783</v>
      </c>
      <c r="C268" s="1">
        <v>75000</v>
      </c>
      <c r="D268" s="1">
        <f>VLOOKUP(A268,'לעדכון ראובן'!$A$5:$F$1028,6,FALSE)</f>
        <v>75000</v>
      </c>
      <c r="E268" s="1">
        <f t="shared" si="4"/>
        <v>0</v>
      </c>
    </row>
    <row r="269" spans="1:5" x14ac:dyDescent="0.15">
      <c r="A269">
        <v>1761000731</v>
      </c>
      <c r="B269" t="s">
        <v>787</v>
      </c>
      <c r="C269" s="1">
        <v>12000</v>
      </c>
      <c r="D269" s="1">
        <f>VLOOKUP(A269,'לעדכון ראובן'!$A$5:$F$1028,6,FALSE)</f>
        <v>12000</v>
      </c>
      <c r="E269" s="1">
        <f t="shared" si="4"/>
        <v>0</v>
      </c>
    </row>
    <row r="270" spans="1:5" x14ac:dyDescent="0.15">
      <c r="A270">
        <v>1761100430</v>
      </c>
      <c r="B270" t="s">
        <v>789</v>
      </c>
      <c r="C270" s="1">
        <v>1500</v>
      </c>
      <c r="D270" s="1">
        <f>VLOOKUP(A270,'לעדכון ראובן'!$A$5:$F$1028,6,FALSE)</f>
        <v>1500</v>
      </c>
      <c r="E270" s="1">
        <f t="shared" si="4"/>
        <v>0</v>
      </c>
    </row>
    <row r="271" spans="1:5" x14ac:dyDescent="0.15">
      <c r="A271">
        <v>1764000781</v>
      </c>
      <c r="B271" t="s">
        <v>792</v>
      </c>
      <c r="C271" s="1">
        <v>368000</v>
      </c>
      <c r="D271" s="1">
        <f>VLOOKUP(A271,'לעדכון ראובן'!$A$5:$F$1028,6,FALSE)</f>
        <v>368000</v>
      </c>
      <c r="E271" s="1">
        <f t="shared" si="4"/>
        <v>0</v>
      </c>
    </row>
    <row r="272" spans="1:5" x14ac:dyDescent="0.15">
      <c r="A272">
        <v>1764000810</v>
      </c>
      <c r="B272" t="s">
        <v>793</v>
      </c>
      <c r="C272" s="1">
        <v>8000</v>
      </c>
      <c r="D272" s="1">
        <f>VLOOKUP(A272,'לעדכון ראובן'!$A$5:$F$1028,6,FALSE)</f>
        <v>8000</v>
      </c>
      <c r="E272" s="1">
        <f t="shared" si="4"/>
        <v>0</v>
      </c>
    </row>
    <row r="273" spans="1:5" x14ac:dyDescent="0.15">
      <c r="A273">
        <v>1765000810</v>
      </c>
      <c r="B273" t="s">
        <v>794</v>
      </c>
      <c r="C273" s="1">
        <v>24000</v>
      </c>
      <c r="D273" s="1">
        <f>VLOOKUP(A273,'לעדכון ראובן'!$A$5:$F$1028,6,FALSE)</f>
        <v>24000</v>
      </c>
      <c r="E273" s="1">
        <f t="shared" si="4"/>
        <v>0</v>
      </c>
    </row>
    <row r="274" spans="1:5" x14ac:dyDescent="0.15">
      <c r="A274">
        <v>1765000811</v>
      </c>
      <c r="B274" t="s">
        <v>795</v>
      </c>
      <c r="C274" s="1">
        <v>15000</v>
      </c>
      <c r="D274" s="1">
        <f>VLOOKUP(A274,'לעדכון ראובן'!$A$5:$F$1028,6,FALSE)</f>
        <v>15000</v>
      </c>
      <c r="E274" s="1">
        <f t="shared" si="4"/>
        <v>0</v>
      </c>
    </row>
    <row r="275" spans="1:5" x14ac:dyDescent="0.15">
      <c r="A275">
        <v>1767000584</v>
      </c>
      <c r="B275" t="s">
        <v>798</v>
      </c>
      <c r="C275" s="1">
        <v>18000</v>
      </c>
      <c r="D275" s="1">
        <f>VLOOKUP(A275,'לעדכון ראובן'!$A$5:$F$1028,6,FALSE)</f>
        <v>18000</v>
      </c>
      <c r="E275" s="1">
        <f t="shared" si="4"/>
        <v>0</v>
      </c>
    </row>
    <row r="276" spans="1:5" x14ac:dyDescent="0.15">
      <c r="A276">
        <v>1769000550</v>
      </c>
      <c r="B276" t="s">
        <v>799</v>
      </c>
      <c r="C276" s="1">
        <v>2000</v>
      </c>
      <c r="D276" s="1">
        <f>VLOOKUP(A276,'לעדכון ראובן'!$A$5:$F$1028,6,FALSE)</f>
        <v>2000</v>
      </c>
      <c r="E276" s="1">
        <f t="shared" si="4"/>
        <v>0</v>
      </c>
    </row>
    <row r="277" spans="1:5" x14ac:dyDescent="0.15">
      <c r="A277">
        <v>1769000780</v>
      </c>
      <c r="B277" t="s">
        <v>800</v>
      </c>
      <c r="C277" s="1">
        <v>76000</v>
      </c>
      <c r="D277" s="1">
        <f>VLOOKUP(A277,'לעדכון ראובן'!$A$5:$F$1028,6,FALSE)</f>
        <v>76000</v>
      </c>
      <c r="E277" s="1">
        <f t="shared" si="4"/>
        <v>0</v>
      </c>
    </row>
    <row r="278" spans="1:5" x14ac:dyDescent="0.15">
      <c r="A278">
        <v>1769000785</v>
      </c>
      <c r="B278" t="s">
        <v>801</v>
      </c>
      <c r="C278" s="1">
        <v>124000</v>
      </c>
      <c r="D278" s="1">
        <f>VLOOKUP(A278,'לעדכון ראובן'!$A$5:$F$1028,6,FALSE)</f>
        <v>124000</v>
      </c>
      <c r="E278" s="1">
        <f t="shared" si="4"/>
        <v>0</v>
      </c>
    </row>
    <row r="279" spans="1:5" x14ac:dyDescent="0.15">
      <c r="A279">
        <v>1772000561</v>
      </c>
      <c r="B279" t="s">
        <v>664</v>
      </c>
      <c r="C279" s="1">
        <v>2000</v>
      </c>
      <c r="D279" s="1">
        <f>VLOOKUP(A279,'לעדכון ראובן'!$A$5:$F$1028,6,FALSE)</f>
        <v>2000</v>
      </c>
      <c r="E279" s="1">
        <f t="shared" si="4"/>
        <v>0</v>
      </c>
    </row>
    <row r="280" spans="1:5" x14ac:dyDescent="0.15">
      <c r="A280">
        <v>1772000731</v>
      </c>
      <c r="B280" t="s">
        <v>803</v>
      </c>
      <c r="C280" s="1">
        <v>69000</v>
      </c>
      <c r="D280" s="1">
        <f>VLOOKUP(A280,'לעדכון ראובן'!$A$5:$F$1028,6,FALSE)</f>
        <v>69000</v>
      </c>
      <c r="E280" s="1">
        <f t="shared" si="4"/>
        <v>0</v>
      </c>
    </row>
    <row r="281" spans="1:5" x14ac:dyDescent="0.15">
      <c r="A281">
        <v>1772000750</v>
      </c>
      <c r="B281" t="s">
        <v>714</v>
      </c>
      <c r="C281" s="1">
        <v>158000</v>
      </c>
      <c r="D281" s="1">
        <f>VLOOKUP(A281,'לעדכון ראובן'!$A$5:$F$1028,6,FALSE)</f>
        <v>158000</v>
      </c>
      <c r="E281" s="1">
        <f t="shared" si="4"/>
        <v>0</v>
      </c>
    </row>
    <row r="282" spans="1:5" x14ac:dyDescent="0.15">
      <c r="A282">
        <v>1772000910</v>
      </c>
      <c r="B282" t="s">
        <v>804</v>
      </c>
      <c r="C282" s="1">
        <v>1185</v>
      </c>
      <c r="D282" s="1">
        <f>VLOOKUP(A282,'לעדכון ראובן'!$A$5:$F$1028,6,FALSE)</f>
        <v>1185</v>
      </c>
      <c r="E282" s="1">
        <f t="shared" si="4"/>
        <v>0</v>
      </c>
    </row>
    <row r="283" spans="1:5" x14ac:dyDescent="0.15">
      <c r="A283">
        <v>1781000422</v>
      </c>
      <c r="B283" t="s">
        <v>805</v>
      </c>
      <c r="C283">
        <v>100</v>
      </c>
      <c r="D283" s="1">
        <f>VLOOKUP(A283,'לעדכון ראובן'!$A$5:$F$1028,6,FALSE)</f>
        <v>100</v>
      </c>
      <c r="E283" s="1">
        <f t="shared" si="4"/>
        <v>0</v>
      </c>
    </row>
    <row r="284" spans="1:5" x14ac:dyDescent="0.15">
      <c r="A284">
        <v>1781000521</v>
      </c>
      <c r="B284" t="s">
        <v>806</v>
      </c>
      <c r="C284">
        <v>815</v>
      </c>
      <c r="D284" s="1">
        <f>VLOOKUP(A284,'לעדכון ראובן'!$A$5:$F$1028,6,FALSE)</f>
        <v>815</v>
      </c>
      <c r="E284" s="1">
        <f t="shared" si="4"/>
        <v>0</v>
      </c>
    </row>
    <row r="285" spans="1:5" x14ac:dyDescent="0.15">
      <c r="A285">
        <v>1781000910</v>
      </c>
      <c r="B285" t="s">
        <v>809</v>
      </c>
      <c r="C285" s="1">
        <v>1185</v>
      </c>
      <c r="D285" s="1">
        <f>VLOOKUP(A285,'לעדכון ראובן'!$A$5:$F$1028,6,FALSE)</f>
        <v>1185</v>
      </c>
      <c r="E285" s="1">
        <f t="shared" si="4"/>
        <v>0</v>
      </c>
    </row>
    <row r="286" spans="1:5" x14ac:dyDescent="0.15">
      <c r="A286">
        <v>1781100442</v>
      </c>
      <c r="B286" t="s">
        <v>812</v>
      </c>
      <c r="C286" s="1">
        <v>3000</v>
      </c>
      <c r="D286" s="1">
        <f>VLOOKUP(A286,'לעדכון ראובן'!$A$5:$F$1028,6,FALSE)</f>
        <v>3000</v>
      </c>
      <c r="E286" s="1">
        <f t="shared" si="4"/>
        <v>0</v>
      </c>
    </row>
    <row r="287" spans="1:5" x14ac:dyDescent="0.15">
      <c r="A287">
        <v>1781100511</v>
      </c>
      <c r="B287" t="s">
        <v>813</v>
      </c>
      <c r="C287" s="1">
        <v>1000</v>
      </c>
      <c r="D287" s="1">
        <f>VLOOKUP(A287,'לעדכון ראובן'!$A$5:$F$1028,6,FALSE)</f>
        <v>1000</v>
      </c>
      <c r="E287" s="1">
        <f t="shared" si="4"/>
        <v>0</v>
      </c>
    </row>
    <row r="288" spans="1:5" x14ac:dyDescent="0.15">
      <c r="A288">
        <v>1781100521</v>
      </c>
      <c r="B288" t="s">
        <v>646</v>
      </c>
      <c r="C288" s="1">
        <v>10000</v>
      </c>
      <c r="D288" s="1">
        <f>VLOOKUP(A288,'לעדכון ראובן'!$A$5:$F$1028,6,FALSE)</f>
        <v>10000</v>
      </c>
      <c r="E288" s="1">
        <f t="shared" si="4"/>
        <v>0</v>
      </c>
    </row>
    <row r="289" spans="1:5" x14ac:dyDescent="0.15">
      <c r="A289">
        <v>1781100750</v>
      </c>
      <c r="B289" t="s">
        <v>816</v>
      </c>
      <c r="C289" s="1">
        <v>480000</v>
      </c>
      <c r="D289" s="1">
        <f>VLOOKUP(A289,'לעדכון ראובן'!$A$5:$F$1028,6,FALSE)</f>
        <v>480000</v>
      </c>
      <c r="E289" s="1">
        <f t="shared" si="4"/>
        <v>0</v>
      </c>
    </row>
    <row r="290" spans="1:5" x14ac:dyDescent="0.15">
      <c r="A290">
        <v>1781100780</v>
      </c>
      <c r="B290" t="s">
        <v>580</v>
      </c>
      <c r="C290" s="1">
        <v>40000</v>
      </c>
      <c r="D290" s="1">
        <f>VLOOKUP(A290,'לעדכון ראובן'!$A$5:$F$1028,6,FALSE)</f>
        <v>40000</v>
      </c>
      <c r="E290" s="1">
        <f t="shared" si="4"/>
        <v>0</v>
      </c>
    </row>
    <row r="291" spans="1:5" x14ac:dyDescent="0.15">
      <c r="A291">
        <v>1781100930</v>
      </c>
      <c r="B291" t="s">
        <v>739</v>
      </c>
      <c r="C291" s="1">
        <v>10000</v>
      </c>
      <c r="D291" s="1">
        <f>VLOOKUP(A291,'לעדכון ראובן'!$A$5:$F$1028,6,FALSE)</f>
        <v>10000</v>
      </c>
      <c r="E291" s="1">
        <f t="shared" si="4"/>
        <v>0</v>
      </c>
    </row>
    <row r="292" spans="1:5" x14ac:dyDescent="0.15">
      <c r="A292">
        <v>1811000422</v>
      </c>
      <c r="B292" t="s">
        <v>818</v>
      </c>
      <c r="C292" s="1">
        <v>5000</v>
      </c>
      <c r="D292" s="1">
        <f>VLOOKUP(A292,'לעדכון ראובן'!$A$5:$F$1028,6,FALSE)</f>
        <v>5000</v>
      </c>
      <c r="E292" s="1">
        <f t="shared" si="4"/>
        <v>0</v>
      </c>
    </row>
    <row r="293" spans="1:5" x14ac:dyDescent="0.15">
      <c r="A293">
        <v>1811000443</v>
      </c>
      <c r="B293" t="s">
        <v>819</v>
      </c>
      <c r="C293" s="1">
        <v>5000</v>
      </c>
      <c r="D293" s="1">
        <f>VLOOKUP(A293,'לעדכון ראובן'!$A$5:$F$1028,6,FALSE)</f>
        <v>5000</v>
      </c>
      <c r="E293" s="1">
        <f t="shared" si="4"/>
        <v>0</v>
      </c>
    </row>
    <row r="294" spans="1:5" x14ac:dyDescent="0.15">
      <c r="A294">
        <v>1811000470</v>
      </c>
      <c r="B294" t="s">
        <v>820</v>
      </c>
      <c r="C294" s="1">
        <v>15000</v>
      </c>
      <c r="D294" s="1">
        <f>VLOOKUP(A294,'לעדכון ראובן'!$A$5:$F$1028,6,FALSE)</f>
        <v>15000</v>
      </c>
      <c r="E294" s="1">
        <f t="shared" si="4"/>
        <v>0</v>
      </c>
    </row>
    <row r="295" spans="1:5" x14ac:dyDescent="0.15">
      <c r="A295">
        <v>1811000511</v>
      </c>
      <c r="B295" t="s">
        <v>697</v>
      </c>
      <c r="C295" s="1">
        <v>2000</v>
      </c>
      <c r="D295" s="1">
        <f>VLOOKUP(A295,'לעדכון ראובן'!$A$5:$F$1028,6,FALSE)</f>
        <v>2000</v>
      </c>
      <c r="E295" s="1">
        <f t="shared" si="4"/>
        <v>0</v>
      </c>
    </row>
    <row r="296" spans="1:5" x14ac:dyDescent="0.15">
      <c r="A296">
        <v>1811000512</v>
      </c>
      <c r="B296" t="s">
        <v>821</v>
      </c>
      <c r="C296" s="1">
        <v>1000</v>
      </c>
      <c r="D296" s="1">
        <f>VLOOKUP(A296,'לעדכון ראובן'!$A$5:$F$1028,6,FALSE)</f>
        <v>1000</v>
      </c>
      <c r="E296" s="1">
        <f t="shared" si="4"/>
        <v>0</v>
      </c>
    </row>
    <row r="297" spans="1:5" x14ac:dyDescent="0.15">
      <c r="A297">
        <v>1811000540</v>
      </c>
      <c r="B297" t="s">
        <v>629</v>
      </c>
      <c r="C297" s="1">
        <v>11000</v>
      </c>
      <c r="D297" s="1">
        <f>VLOOKUP(A297,'לעדכון ראובן'!$A$5:$F$1028,6,FALSE)</f>
        <v>11000</v>
      </c>
      <c r="E297" s="1">
        <f t="shared" si="4"/>
        <v>0</v>
      </c>
    </row>
    <row r="298" spans="1:5" x14ac:dyDescent="0.15">
      <c r="A298">
        <v>1811000550</v>
      </c>
      <c r="B298" t="s">
        <v>822</v>
      </c>
      <c r="C298" s="1">
        <v>5000</v>
      </c>
      <c r="D298" s="1">
        <f>VLOOKUP(A298,'לעדכון ראובן'!$A$5:$F$1028,6,FALSE)</f>
        <v>5000</v>
      </c>
      <c r="E298" s="1">
        <f t="shared" si="4"/>
        <v>0</v>
      </c>
    </row>
    <row r="299" spans="1:5" x14ac:dyDescent="0.15">
      <c r="A299">
        <v>1811000560</v>
      </c>
      <c r="B299" t="s">
        <v>823</v>
      </c>
      <c r="C299" s="1">
        <v>2000</v>
      </c>
      <c r="D299" s="1">
        <f>VLOOKUP(A299,'לעדכון ראובן'!$A$5:$F$1028,6,FALSE)</f>
        <v>2000</v>
      </c>
      <c r="E299" s="1">
        <f t="shared" si="4"/>
        <v>0</v>
      </c>
    </row>
    <row r="300" spans="1:5" x14ac:dyDescent="0.15">
      <c r="A300">
        <v>1811000570</v>
      </c>
      <c r="B300" t="s">
        <v>824</v>
      </c>
      <c r="C300" s="1">
        <v>82400</v>
      </c>
      <c r="D300" s="1">
        <f>VLOOKUP(A300,'לעדכון ראובן'!$A$5:$F$1028,6,FALSE)</f>
        <v>82400</v>
      </c>
      <c r="E300" s="1">
        <f t="shared" si="4"/>
        <v>0</v>
      </c>
    </row>
    <row r="301" spans="1:5" x14ac:dyDescent="0.15">
      <c r="A301">
        <v>1811000571</v>
      </c>
      <c r="B301" t="s">
        <v>590</v>
      </c>
      <c r="C301" s="1">
        <v>7758</v>
      </c>
      <c r="D301" s="1">
        <f>VLOOKUP(A301,'לעדכון ראובן'!$A$5:$F$1028,6,FALSE)</f>
        <v>7758</v>
      </c>
      <c r="E301" s="1">
        <f t="shared" si="4"/>
        <v>0</v>
      </c>
    </row>
    <row r="302" spans="1:5" x14ac:dyDescent="0.15">
      <c r="A302">
        <v>1811000580</v>
      </c>
      <c r="B302" t="s">
        <v>825</v>
      </c>
      <c r="C302" s="1">
        <v>7815</v>
      </c>
      <c r="D302" s="1">
        <f>VLOOKUP(A302,'לעדכון ראובן'!$A$5:$F$1028,6,FALSE)</f>
        <v>7815</v>
      </c>
      <c r="E302" s="1">
        <f t="shared" si="4"/>
        <v>0</v>
      </c>
    </row>
    <row r="303" spans="1:5" x14ac:dyDescent="0.15">
      <c r="A303">
        <v>1811000720</v>
      </c>
      <c r="B303" t="s">
        <v>826</v>
      </c>
      <c r="C303" s="1">
        <v>1000</v>
      </c>
      <c r="D303" s="1">
        <f>VLOOKUP(A303,'לעדכון ראובן'!$A$5:$F$1028,6,FALSE)</f>
        <v>1000</v>
      </c>
      <c r="E303" s="1">
        <f t="shared" si="4"/>
        <v>0</v>
      </c>
    </row>
    <row r="304" spans="1:5" x14ac:dyDescent="0.15">
      <c r="A304">
        <v>1811000780</v>
      </c>
      <c r="B304" t="s">
        <v>580</v>
      </c>
      <c r="C304" s="1">
        <v>4000</v>
      </c>
      <c r="D304" s="1">
        <f>VLOOKUP(A304,'לעדכון ראובן'!$A$5:$F$1028,6,FALSE)</f>
        <v>4000</v>
      </c>
      <c r="E304" s="1">
        <f t="shared" si="4"/>
        <v>0</v>
      </c>
    </row>
    <row r="305" spans="1:5" x14ac:dyDescent="0.15">
      <c r="A305">
        <v>1822000750</v>
      </c>
      <c r="B305" t="s">
        <v>828</v>
      </c>
      <c r="C305" s="1">
        <v>156000</v>
      </c>
      <c r="D305" s="1">
        <f>VLOOKUP(A305,'לעדכון ראובן'!$A$5:$F$1028,6,FALSE)</f>
        <v>156000</v>
      </c>
      <c r="E305" s="1">
        <f t="shared" si="4"/>
        <v>0</v>
      </c>
    </row>
    <row r="306" spans="1:5" x14ac:dyDescent="0.15">
      <c r="A306">
        <v>1822000780</v>
      </c>
      <c r="B306" t="s">
        <v>829</v>
      </c>
      <c r="C306" s="1">
        <v>1708000</v>
      </c>
      <c r="D306" s="1">
        <f>VLOOKUP(A306,'לעדכון ראובן'!$A$5:$F$1028,6,FALSE)</f>
        <v>1708000</v>
      </c>
      <c r="E306" s="1">
        <f t="shared" si="4"/>
        <v>0</v>
      </c>
    </row>
    <row r="307" spans="1:5" x14ac:dyDescent="0.15">
      <c r="A307">
        <v>1822000781</v>
      </c>
      <c r="B307" t="s">
        <v>830</v>
      </c>
      <c r="C307" s="1">
        <v>60000</v>
      </c>
      <c r="D307" s="1">
        <f>VLOOKUP(A307,'לעדכון ראובן'!$A$5:$F$1028,6,FALSE)</f>
        <v>60000</v>
      </c>
      <c r="E307" s="1">
        <f t="shared" si="4"/>
        <v>0</v>
      </c>
    </row>
    <row r="308" spans="1:5" x14ac:dyDescent="0.15">
      <c r="A308">
        <v>1822000782</v>
      </c>
      <c r="B308" t="s">
        <v>831</v>
      </c>
      <c r="C308" s="1">
        <v>777000</v>
      </c>
      <c r="D308" s="1">
        <f>VLOOKUP(A308,'לעדכון ראובן'!$A$5:$F$1028,6,FALSE)</f>
        <v>777000</v>
      </c>
      <c r="E308" s="1">
        <f t="shared" si="4"/>
        <v>0</v>
      </c>
    </row>
    <row r="309" spans="1:5" x14ac:dyDescent="0.15">
      <c r="A309">
        <v>1822000783</v>
      </c>
      <c r="B309" t="s">
        <v>832</v>
      </c>
      <c r="C309" s="1">
        <v>354000</v>
      </c>
      <c r="D309" s="1">
        <f>VLOOKUP(A309,'לעדכון ראובן'!$A$5:$F$1028,6,FALSE)</f>
        <v>354000</v>
      </c>
      <c r="E309" s="1">
        <f t="shared" si="4"/>
        <v>0</v>
      </c>
    </row>
    <row r="310" spans="1:5" x14ac:dyDescent="0.15">
      <c r="A310">
        <v>1822000784</v>
      </c>
      <c r="B310" t="s">
        <v>833</v>
      </c>
      <c r="C310" s="1">
        <v>345000</v>
      </c>
      <c r="D310" s="1">
        <f>VLOOKUP(A310,'לעדכון ראובן'!$A$5:$F$1028,6,FALSE)</f>
        <v>345000</v>
      </c>
      <c r="E310" s="1">
        <f t="shared" si="4"/>
        <v>0</v>
      </c>
    </row>
    <row r="311" spans="1:5" x14ac:dyDescent="0.15">
      <c r="A311">
        <v>1822000785</v>
      </c>
      <c r="B311" t="s">
        <v>834</v>
      </c>
      <c r="C311" s="1">
        <v>10000</v>
      </c>
      <c r="D311" s="1">
        <f>VLOOKUP(A311,'לעדכון ראובן'!$A$5:$F$1028,6,FALSE)</f>
        <v>10000</v>
      </c>
      <c r="E311" s="1">
        <f t="shared" si="4"/>
        <v>0</v>
      </c>
    </row>
    <row r="312" spans="1:5" x14ac:dyDescent="0.15">
      <c r="A312">
        <v>1822000786</v>
      </c>
      <c r="B312" t="s">
        <v>835</v>
      </c>
      <c r="C312" s="1">
        <v>100000</v>
      </c>
      <c r="D312" s="1">
        <f>VLOOKUP(A312,'לעדכון ראובן'!$A$5:$F$1028,6,FALSE)</f>
        <v>100000</v>
      </c>
      <c r="E312" s="1">
        <f t="shared" si="4"/>
        <v>0</v>
      </c>
    </row>
    <row r="313" spans="1:5" x14ac:dyDescent="0.15">
      <c r="A313">
        <v>1822000822</v>
      </c>
      <c r="B313" t="s">
        <v>836</v>
      </c>
      <c r="C313" s="1">
        <v>96000</v>
      </c>
      <c r="D313" s="1">
        <f>VLOOKUP(A313,'לעדכון ראובן'!$A$5:$F$1028,6,FALSE)</f>
        <v>96000</v>
      </c>
      <c r="E313" s="1">
        <f t="shared" si="4"/>
        <v>0</v>
      </c>
    </row>
    <row r="314" spans="1:5" x14ac:dyDescent="0.15">
      <c r="A314">
        <v>1822300780</v>
      </c>
      <c r="B314" t="s">
        <v>837</v>
      </c>
      <c r="C314" s="1">
        <v>900000</v>
      </c>
      <c r="D314" s="1">
        <f>VLOOKUP(A314,'לעדכון ראובן'!$A$5:$F$1028,6,FALSE)</f>
        <v>900000</v>
      </c>
      <c r="E314" s="1">
        <f t="shared" si="4"/>
        <v>0</v>
      </c>
    </row>
    <row r="315" spans="1:5" x14ac:dyDescent="0.15">
      <c r="A315">
        <v>1822800780</v>
      </c>
      <c r="B315" t="s">
        <v>838</v>
      </c>
      <c r="C315" s="1">
        <v>100000</v>
      </c>
      <c r="D315" s="1">
        <f>VLOOKUP(A315,'לעדכון ראובן'!$A$5:$F$1028,6,FALSE)</f>
        <v>100000</v>
      </c>
      <c r="E315" s="1">
        <f t="shared" si="4"/>
        <v>0</v>
      </c>
    </row>
    <row r="316" spans="1:5" x14ac:dyDescent="0.15">
      <c r="A316">
        <v>1823000470</v>
      </c>
      <c r="B316" t="s">
        <v>840</v>
      </c>
      <c r="C316">
        <v>500</v>
      </c>
      <c r="D316" s="1">
        <f>VLOOKUP(A316,'לעדכון ראובן'!$A$5:$F$1028,6,FALSE)</f>
        <v>500</v>
      </c>
      <c r="E316" s="1">
        <f t="shared" si="4"/>
        <v>0</v>
      </c>
    </row>
    <row r="317" spans="1:5" x14ac:dyDescent="0.15">
      <c r="A317">
        <v>1823000522</v>
      </c>
      <c r="B317" t="s">
        <v>842</v>
      </c>
      <c r="C317">
        <v>130</v>
      </c>
      <c r="D317" s="1">
        <f>VLOOKUP(A317,'לעדכון ראובן'!$A$5:$F$1028,6,FALSE)</f>
        <v>130</v>
      </c>
      <c r="E317" s="1">
        <f t="shared" si="4"/>
        <v>0</v>
      </c>
    </row>
    <row r="318" spans="1:5" x14ac:dyDescent="0.15">
      <c r="A318">
        <v>1823000540</v>
      </c>
      <c r="B318" t="s">
        <v>843</v>
      </c>
      <c r="C318" s="1">
        <v>8000</v>
      </c>
      <c r="D318" s="1">
        <f>VLOOKUP(A318,'לעדכון ראובן'!$A$5:$F$1028,6,FALSE)</f>
        <v>8000</v>
      </c>
      <c r="E318" s="1">
        <f t="shared" si="4"/>
        <v>0</v>
      </c>
    </row>
    <row r="319" spans="1:5" x14ac:dyDescent="0.15">
      <c r="A319">
        <v>1823000560</v>
      </c>
      <c r="B319" t="s">
        <v>844</v>
      </c>
      <c r="C319" s="1">
        <v>1450</v>
      </c>
      <c r="D319" s="1">
        <f>VLOOKUP(A319,'לעדכון ראובן'!$A$5:$F$1028,6,FALSE)</f>
        <v>1450</v>
      </c>
      <c r="E319" s="1">
        <f t="shared" si="4"/>
        <v>0</v>
      </c>
    </row>
    <row r="320" spans="1:5" x14ac:dyDescent="0.15">
      <c r="A320">
        <v>1823000740</v>
      </c>
      <c r="B320" t="s">
        <v>845</v>
      </c>
      <c r="C320" s="1">
        <v>5000</v>
      </c>
      <c r="D320" s="1">
        <f>VLOOKUP(A320,'לעדכון ראובן'!$A$5:$F$1028,6,FALSE)</f>
        <v>5000</v>
      </c>
      <c r="E320" s="1">
        <f t="shared" si="4"/>
        <v>0</v>
      </c>
    </row>
    <row r="321" spans="1:5" x14ac:dyDescent="0.15">
      <c r="A321">
        <v>1823000750</v>
      </c>
      <c r="B321" t="s">
        <v>846</v>
      </c>
      <c r="C321" s="1">
        <v>12000</v>
      </c>
      <c r="D321" s="1">
        <f>VLOOKUP(A321,'לעדכון ראובן'!$A$5:$F$1028,6,FALSE)</f>
        <v>12000</v>
      </c>
      <c r="E321" s="1">
        <f t="shared" si="4"/>
        <v>0</v>
      </c>
    </row>
    <row r="322" spans="1:5" x14ac:dyDescent="0.15">
      <c r="A322">
        <v>1823000930</v>
      </c>
      <c r="B322" t="s">
        <v>847</v>
      </c>
      <c r="C322" s="1">
        <v>1700</v>
      </c>
      <c r="D322" s="1">
        <f>VLOOKUP(A322,'לעדכון ראובן'!$A$5:$F$1028,6,FALSE)</f>
        <v>1700</v>
      </c>
      <c r="E322" s="1">
        <f t="shared" si="4"/>
        <v>0</v>
      </c>
    </row>
    <row r="323" spans="1:5" x14ac:dyDescent="0.15">
      <c r="A323">
        <v>1824000430</v>
      </c>
      <c r="B323" t="s">
        <v>848</v>
      </c>
      <c r="C323" s="1">
        <v>12000</v>
      </c>
      <c r="D323" s="1">
        <f>VLOOKUP(A323,'לעדכון ראובן'!$A$5:$F$1028,6,FALSE)</f>
        <v>12000</v>
      </c>
      <c r="E323" s="1">
        <f t="shared" si="4"/>
        <v>0</v>
      </c>
    </row>
    <row r="324" spans="1:5" x14ac:dyDescent="0.15">
      <c r="A324">
        <v>1824000810</v>
      </c>
      <c r="B324" t="s">
        <v>849</v>
      </c>
      <c r="C324" s="1">
        <v>3085334</v>
      </c>
      <c r="D324" s="1">
        <f>VLOOKUP(A324,'לעדכון ראובן'!$A$5:$F$1028,6,FALSE)</f>
        <v>3085334</v>
      </c>
      <c r="E324" s="1">
        <f t="shared" ref="E324:E387" si="5">C324-D324</f>
        <v>0</v>
      </c>
    </row>
    <row r="325" spans="1:5" x14ac:dyDescent="0.15">
      <c r="A325">
        <v>1824000812</v>
      </c>
      <c r="B325" t="s">
        <v>850</v>
      </c>
      <c r="C325" s="1">
        <v>80000</v>
      </c>
      <c r="D325" s="1">
        <f>VLOOKUP(A325,'לעדכון ראובן'!$A$5:$F$1028,6,FALSE)</f>
        <v>80000</v>
      </c>
      <c r="E325" s="1">
        <f t="shared" si="5"/>
        <v>0</v>
      </c>
    </row>
    <row r="326" spans="1:5" x14ac:dyDescent="0.15">
      <c r="A326">
        <v>1824000814</v>
      </c>
      <c r="B326" t="s">
        <v>851</v>
      </c>
      <c r="C326" s="1">
        <v>80000</v>
      </c>
      <c r="D326" s="1">
        <f>VLOOKUP(A326,'לעדכון ראובן'!$A$5:$F$1028,6,FALSE)</f>
        <v>80000</v>
      </c>
      <c r="E326" s="1">
        <f t="shared" si="5"/>
        <v>0</v>
      </c>
    </row>
    <row r="327" spans="1:5" x14ac:dyDescent="0.15">
      <c r="A327">
        <v>1825200420</v>
      </c>
      <c r="B327" t="s">
        <v>852</v>
      </c>
      <c r="C327" s="1">
        <v>30000</v>
      </c>
      <c r="D327" s="1">
        <f>VLOOKUP(A327,'לעדכון ראובן'!$A$5:$F$1028,6,FALSE)</f>
        <v>30000</v>
      </c>
      <c r="E327" s="1">
        <f t="shared" si="5"/>
        <v>0</v>
      </c>
    </row>
    <row r="328" spans="1:5" x14ac:dyDescent="0.15">
      <c r="A328">
        <v>1825200433</v>
      </c>
      <c r="B328" t="s">
        <v>854</v>
      </c>
      <c r="C328" s="1">
        <v>10000</v>
      </c>
      <c r="D328" s="1">
        <f>VLOOKUP(A328,'לעדכון ראובן'!$A$5:$F$1028,6,FALSE)</f>
        <v>10000</v>
      </c>
      <c r="E328" s="1">
        <f t="shared" si="5"/>
        <v>0</v>
      </c>
    </row>
    <row r="329" spans="1:5" x14ac:dyDescent="0.15">
      <c r="A329">
        <v>1825200450</v>
      </c>
      <c r="B329" t="s">
        <v>855</v>
      </c>
      <c r="C329" s="1">
        <v>15000</v>
      </c>
      <c r="D329" s="1">
        <f>VLOOKUP(A329,'לעדכון ראובן'!$A$5:$F$1028,6,FALSE)</f>
        <v>15000</v>
      </c>
      <c r="E329" s="1">
        <f t="shared" si="5"/>
        <v>0</v>
      </c>
    </row>
    <row r="330" spans="1:5" x14ac:dyDescent="0.15">
      <c r="A330">
        <v>1825200470</v>
      </c>
      <c r="B330" t="s">
        <v>856</v>
      </c>
      <c r="C330" s="1">
        <v>2000</v>
      </c>
      <c r="D330" s="1">
        <f>VLOOKUP(A330,'לעדכון ראובן'!$A$5:$F$1028,6,FALSE)</f>
        <v>2000</v>
      </c>
      <c r="E330" s="1">
        <f t="shared" si="5"/>
        <v>0</v>
      </c>
    </row>
    <row r="331" spans="1:5" x14ac:dyDescent="0.15">
      <c r="A331">
        <v>1825200512</v>
      </c>
      <c r="B331" t="s">
        <v>857</v>
      </c>
      <c r="C331" s="1">
        <v>75000</v>
      </c>
      <c r="D331" s="1">
        <f>VLOOKUP(A331,'לעדכון ראובן'!$A$5:$F$1028,6,FALSE)</f>
        <v>75000</v>
      </c>
      <c r="E331" s="1">
        <f t="shared" si="5"/>
        <v>0</v>
      </c>
    </row>
    <row r="332" spans="1:5" x14ac:dyDescent="0.15">
      <c r="A332">
        <v>1825200520</v>
      </c>
      <c r="B332" t="s">
        <v>858</v>
      </c>
      <c r="C332" s="1">
        <v>15000</v>
      </c>
      <c r="D332" s="1">
        <f>VLOOKUP(A332,'לעדכון ראובן'!$A$5:$F$1028,6,FALSE)</f>
        <v>15000</v>
      </c>
      <c r="E332" s="1">
        <f t="shared" si="5"/>
        <v>0</v>
      </c>
    </row>
    <row r="333" spans="1:5" x14ac:dyDescent="0.15">
      <c r="A333">
        <v>1825200540</v>
      </c>
      <c r="B333" t="s">
        <v>859</v>
      </c>
      <c r="C333" s="1">
        <v>15000</v>
      </c>
      <c r="D333" s="1">
        <f>VLOOKUP(A333,'לעדכון ראובן'!$A$5:$F$1028,6,FALSE)</f>
        <v>15000</v>
      </c>
      <c r="E333" s="1">
        <f t="shared" si="5"/>
        <v>0</v>
      </c>
    </row>
    <row r="334" spans="1:5" x14ac:dyDescent="0.15">
      <c r="A334">
        <v>1825200550</v>
      </c>
      <c r="B334" t="s">
        <v>860</v>
      </c>
      <c r="C334" s="1">
        <v>30000</v>
      </c>
      <c r="D334" s="1">
        <f>VLOOKUP(A334,'לעדכון ראובן'!$A$5:$F$1028,6,FALSE)</f>
        <v>30000</v>
      </c>
      <c r="E334" s="1">
        <f t="shared" si="5"/>
        <v>0</v>
      </c>
    </row>
    <row r="335" spans="1:5" x14ac:dyDescent="0.15">
      <c r="A335">
        <v>1825200560</v>
      </c>
      <c r="B335" t="s">
        <v>861</v>
      </c>
      <c r="C335" s="1">
        <v>17000</v>
      </c>
      <c r="D335" s="1">
        <f>VLOOKUP(A335,'לעדכון ראובן'!$A$5:$F$1028,6,FALSE)</f>
        <v>17000</v>
      </c>
      <c r="E335" s="1">
        <f t="shared" si="5"/>
        <v>0</v>
      </c>
    </row>
    <row r="336" spans="1:5" x14ac:dyDescent="0.15">
      <c r="A336">
        <v>1825200720</v>
      </c>
      <c r="B336" t="s">
        <v>862</v>
      </c>
      <c r="C336" s="1">
        <v>5000</v>
      </c>
      <c r="D336" s="1">
        <f>VLOOKUP(A336,'לעדכון ראובן'!$A$5:$F$1028,6,FALSE)</f>
        <v>5000</v>
      </c>
      <c r="E336" s="1">
        <f t="shared" si="5"/>
        <v>0</v>
      </c>
    </row>
    <row r="337" spans="1:5" x14ac:dyDescent="0.15">
      <c r="A337">
        <v>1825200732</v>
      </c>
      <c r="B337" t="s">
        <v>863</v>
      </c>
      <c r="C337" s="1">
        <v>51000</v>
      </c>
      <c r="D337" s="1">
        <f>VLOOKUP(A337,'לעדכון ראובן'!$A$5:$F$1028,6,FALSE)</f>
        <v>51000</v>
      </c>
      <c r="E337" s="1">
        <f t="shared" si="5"/>
        <v>0</v>
      </c>
    </row>
    <row r="338" spans="1:5" x14ac:dyDescent="0.15">
      <c r="A338">
        <v>1825200740</v>
      </c>
      <c r="B338" t="s">
        <v>737</v>
      </c>
      <c r="C338" s="1">
        <v>20000</v>
      </c>
      <c r="D338" s="1">
        <f>VLOOKUP(A338,'לעדכון ראובן'!$A$5:$F$1028,6,FALSE)</f>
        <v>20000</v>
      </c>
      <c r="E338" s="1">
        <f t="shared" si="5"/>
        <v>0</v>
      </c>
    </row>
    <row r="339" spans="1:5" x14ac:dyDescent="0.15">
      <c r="A339">
        <v>1825200750</v>
      </c>
      <c r="B339" t="s">
        <v>864</v>
      </c>
      <c r="C339" s="1">
        <v>205000</v>
      </c>
      <c r="D339" s="1">
        <f>VLOOKUP(A339,'לעדכון ראובן'!$A$5:$F$1028,6,FALSE)</f>
        <v>205000</v>
      </c>
      <c r="E339" s="1">
        <f t="shared" si="5"/>
        <v>0</v>
      </c>
    </row>
    <row r="340" spans="1:5" x14ac:dyDescent="0.15">
      <c r="A340">
        <v>1825200780</v>
      </c>
      <c r="B340" t="s">
        <v>865</v>
      </c>
      <c r="C340" s="1">
        <v>70000</v>
      </c>
      <c r="D340" s="1">
        <f>VLOOKUP(A340,'לעדכון ראובן'!$A$5:$F$1028,6,FALSE)</f>
        <v>70000</v>
      </c>
      <c r="E340" s="1">
        <f t="shared" si="5"/>
        <v>0</v>
      </c>
    </row>
    <row r="341" spans="1:5" x14ac:dyDescent="0.15">
      <c r="A341">
        <v>1825200785</v>
      </c>
      <c r="B341" t="s">
        <v>866</v>
      </c>
      <c r="C341" s="1">
        <v>249406</v>
      </c>
      <c r="D341" s="1">
        <f>VLOOKUP(A341,'לעדכון ראובן'!$A$5:$F$1028,6,FALSE)</f>
        <v>249406</v>
      </c>
      <c r="E341" s="1">
        <f t="shared" si="5"/>
        <v>0</v>
      </c>
    </row>
    <row r="342" spans="1:5" x14ac:dyDescent="0.15">
      <c r="A342">
        <v>1825200786</v>
      </c>
      <c r="B342" t="s">
        <v>867</v>
      </c>
      <c r="C342" s="1">
        <v>70000</v>
      </c>
      <c r="D342" s="1">
        <f>VLOOKUP(A342,'לעדכון ראובן'!$A$5:$F$1028,6,FALSE)</f>
        <v>70000</v>
      </c>
      <c r="E342" s="1">
        <f t="shared" si="5"/>
        <v>0</v>
      </c>
    </row>
    <row r="343" spans="1:5" x14ac:dyDescent="0.15">
      <c r="A343">
        <v>1825200930</v>
      </c>
      <c r="B343" t="s">
        <v>868</v>
      </c>
      <c r="C343" s="1">
        <v>40000</v>
      </c>
      <c r="D343" s="1">
        <f>VLOOKUP(A343,'לעדכון ראובן'!$A$5:$F$1028,6,FALSE)</f>
        <v>40000</v>
      </c>
      <c r="E343" s="1">
        <f t="shared" si="5"/>
        <v>0</v>
      </c>
    </row>
    <row r="344" spans="1:5" x14ac:dyDescent="0.15">
      <c r="A344">
        <v>1826200430</v>
      </c>
      <c r="B344" t="s">
        <v>869</v>
      </c>
      <c r="C344" s="1">
        <v>2000</v>
      </c>
      <c r="D344" s="1">
        <f>VLOOKUP(A344,'לעדכון ראובן'!$A$5:$F$1028,6,FALSE)</f>
        <v>2000</v>
      </c>
      <c r="E344" s="1">
        <f t="shared" si="5"/>
        <v>0</v>
      </c>
    </row>
    <row r="345" spans="1:5" x14ac:dyDescent="0.15">
      <c r="A345">
        <v>1826200432</v>
      </c>
      <c r="B345" t="s">
        <v>870</v>
      </c>
      <c r="C345" s="1">
        <v>18000</v>
      </c>
      <c r="D345" s="1">
        <f>VLOOKUP(A345,'לעדכון ראובן'!$A$5:$F$1028,6,FALSE)</f>
        <v>18000</v>
      </c>
      <c r="E345" s="1">
        <f t="shared" si="5"/>
        <v>0</v>
      </c>
    </row>
    <row r="346" spans="1:5" x14ac:dyDescent="0.15">
      <c r="A346">
        <v>1826200780</v>
      </c>
      <c r="B346" t="s">
        <v>871</v>
      </c>
      <c r="C346" s="1">
        <v>2000</v>
      </c>
      <c r="D346" s="1">
        <f>VLOOKUP(A346,'לעדכון ראובן'!$A$5:$F$1028,6,FALSE)</f>
        <v>2000</v>
      </c>
      <c r="E346" s="1">
        <f t="shared" si="5"/>
        <v>0</v>
      </c>
    </row>
    <row r="347" spans="1:5" x14ac:dyDescent="0.15">
      <c r="A347">
        <v>1826200830</v>
      </c>
      <c r="B347" t="s">
        <v>872</v>
      </c>
      <c r="C347" s="1">
        <v>45000</v>
      </c>
      <c r="D347" s="1">
        <f>VLOOKUP(A347,'לעדכון ראובן'!$A$5:$F$1028,6,FALSE)</f>
        <v>45000</v>
      </c>
      <c r="E347" s="1">
        <f t="shared" si="5"/>
        <v>0</v>
      </c>
    </row>
    <row r="348" spans="1:5" x14ac:dyDescent="0.15">
      <c r="A348">
        <v>1826400410</v>
      </c>
      <c r="B348" t="s">
        <v>873</v>
      </c>
      <c r="C348" s="1">
        <v>171000</v>
      </c>
      <c r="D348" s="1">
        <f>VLOOKUP(A348,'לעדכון ראובן'!$A$5:$F$1028,6,FALSE)</f>
        <v>171000</v>
      </c>
      <c r="E348" s="1">
        <f t="shared" si="5"/>
        <v>0</v>
      </c>
    </row>
    <row r="349" spans="1:5" x14ac:dyDescent="0.15">
      <c r="A349">
        <v>1826400430</v>
      </c>
      <c r="B349" t="s">
        <v>874</v>
      </c>
      <c r="C349" s="1">
        <v>54000</v>
      </c>
      <c r="D349" s="1">
        <f>VLOOKUP(A349,'לעדכון ראובן'!$A$5:$F$1028,6,FALSE)</f>
        <v>54000</v>
      </c>
      <c r="E349" s="1">
        <f t="shared" si="5"/>
        <v>0</v>
      </c>
    </row>
    <row r="350" spans="1:5" x14ac:dyDescent="0.15">
      <c r="A350">
        <v>1826500780</v>
      </c>
      <c r="B350" t="s">
        <v>876</v>
      </c>
      <c r="C350" s="1">
        <v>24000</v>
      </c>
      <c r="D350" s="1">
        <f>VLOOKUP(A350,'לעדכון ראובן'!$A$5:$F$1028,6,FALSE)</f>
        <v>24000</v>
      </c>
      <c r="E350" s="1">
        <f t="shared" si="5"/>
        <v>0</v>
      </c>
    </row>
    <row r="351" spans="1:5" x14ac:dyDescent="0.15">
      <c r="A351">
        <v>1829000780</v>
      </c>
      <c r="B351" t="s">
        <v>877</v>
      </c>
      <c r="C351" s="1">
        <v>10000</v>
      </c>
      <c r="D351" s="1">
        <f>VLOOKUP(A351,'לעדכון ראובן'!$A$5:$F$1028,6,FALSE)</f>
        <v>10000</v>
      </c>
      <c r="E351" s="1">
        <f t="shared" si="5"/>
        <v>0</v>
      </c>
    </row>
    <row r="352" spans="1:5" x14ac:dyDescent="0.15">
      <c r="A352">
        <v>1829200750</v>
      </c>
      <c r="B352" t="s">
        <v>878</v>
      </c>
      <c r="C352" s="1">
        <v>1000000</v>
      </c>
      <c r="D352" s="1">
        <f>VLOOKUP(A352,'לעדכון ראובן'!$A$5:$F$1028,6,FALSE)</f>
        <v>1000000</v>
      </c>
      <c r="E352" s="1">
        <f t="shared" si="5"/>
        <v>0</v>
      </c>
    </row>
    <row r="353" spans="1:5" x14ac:dyDescent="0.15">
      <c r="A353">
        <v>1829900750</v>
      </c>
      <c r="B353" t="s">
        <v>879</v>
      </c>
      <c r="C353" s="1">
        <v>120000</v>
      </c>
      <c r="D353" s="1">
        <f>VLOOKUP(A353,'לעדכון ראובן'!$A$5:$F$1028,6,FALSE)</f>
        <v>120000</v>
      </c>
      <c r="E353" s="1">
        <f t="shared" si="5"/>
        <v>0</v>
      </c>
    </row>
    <row r="354" spans="1:5" x14ac:dyDescent="0.15">
      <c r="A354">
        <v>1829900810</v>
      </c>
      <c r="B354" t="s">
        <v>794</v>
      </c>
      <c r="C354" s="1">
        <v>2300000</v>
      </c>
      <c r="D354" s="1">
        <f>VLOOKUP(A354,'לעדכון ראובן'!$A$5:$F$1028,6,FALSE)</f>
        <v>2300000</v>
      </c>
      <c r="E354" s="1">
        <f t="shared" si="5"/>
        <v>0</v>
      </c>
    </row>
    <row r="355" spans="1:5" x14ac:dyDescent="0.15">
      <c r="A355">
        <v>1829900811</v>
      </c>
      <c r="B355" t="s">
        <v>880</v>
      </c>
      <c r="C355" s="1">
        <v>13309</v>
      </c>
      <c r="D355" s="1">
        <f>VLOOKUP(A355,'לעדכון ראובן'!$A$5:$F$1028,6,FALSE)</f>
        <v>13309</v>
      </c>
      <c r="E355" s="1">
        <f t="shared" si="5"/>
        <v>0</v>
      </c>
    </row>
    <row r="356" spans="1:5" x14ac:dyDescent="0.15">
      <c r="A356">
        <v>1829900910</v>
      </c>
      <c r="B356" t="s">
        <v>881</v>
      </c>
      <c r="C356" s="1">
        <v>17000</v>
      </c>
      <c r="D356" s="1">
        <f>VLOOKUP(A356,'לעדכון ראובן'!$A$5:$F$1028,6,FALSE)</f>
        <v>17000</v>
      </c>
      <c r="E356" s="1">
        <f t="shared" si="5"/>
        <v>0</v>
      </c>
    </row>
    <row r="357" spans="1:5" x14ac:dyDescent="0.15">
      <c r="A357">
        <v>1829910810</v>
      </c>
      <c r="B357" t="s">
        <v>882</v>
      </c>
      <c r="C357" s="1">
        <v>250000</v>
      </c>
      <c r="D357" s="1">
        <f>VLOOKUP(A357,'לעדכון ראובן'!$A$5:$F$1028,6,FALSE)</f>
        <v>250000</v>
      </c>
      <c r="E357" s="1">
        <f t="shared" si="5"/>
        <v>0</v>
      </c>
    </row>
    <row r="358" spans="1:5" x14ac:dyDescent="0.15">
      <c r="A358">
        <v>1836100810</v>
      </c>
      <c r="B358" t="s">
        <v>883</v>
      </c>
      <c r="C358" s="1">
        <v>180000</v>
      </c>
      <c r="D358" s="1">
        <f>VLOOKUP(A358,'לעדכון ראובן'!$A$5:$F$1028,6,FALSE)</f>
        <v>180000</v>
      </c>
      <c r="E358" s="1">
        <f t="shared" si="5"/>
        <v>0</v>
      </c>
    </row>
    <row r="359" spans="1:5" x14ac:dyDescent="0.15">
      <c r="A359">
        <v>1851000810</v>
      </c>
      <c r="B359" t="s">
        <v>794</v>
      </c>
      <c r="C359" s="1">
        <v>1605000</v>
      </c>
      <c r="D359" s="1">
        <f>VLOOKUP(A359,'לעדכון ראובן'!$A$5:$F$1028,6,FALSE)</f>
        <v>1605000</v>
      </c>
      <c r="E359" s="1">
        <f t="shared" si="5"/>
        <v>0</v>
      </c>
    </row>
    <row r="360" spans="1:5" x14ac:dyDescent="0.15">
      <c r="A360">
        <v>1860000410</v>
      </c>
      <c r="B360" t="s">
        <v>873</v>
      </c>
      <c r="C360" s="1">
        <v>60000</v>
      </c>
      <c r="D360" s="1">
        <f>VLOOKUP(A360,'לעדכון ראובן'!$A$5:$F$1028,6,FALSE)</f>
        <v>60000</v>
      </c>
      <c r="E360" s="1">
        <f t="shared" si="5"/>
        <v>0</v>
      </c>
    </row>
    <row r="361" spans="1:5" x14ac:dyDescent="0.15">
      <c r="A361">
        <v>1860000470</v>
      </c>
      <c r="B361" t="s">
        <v>884</v>
      </c>
      <c r="C361" s="1">
        <v>2000</v>
      </c>
      <c r="D361" s="1">
        <f>VLOOKUP(A361,'לעדכון ראובן'!$A$5:$F$1028,6,FALSE)</f>
        <v>2000</v>
      </c>
      <c r="E361" s="1">
        <f t="shared" si="5"/>
        <v>0</v>
      </c>
    </row>
    <row r="362" spans="1:5" x14ac:dyDescent="0.15">
      <c r="A362">
        <v>1860000520</v>
      </c>
      <c r="B362" t="s">
        <v>571</v>
      </c>
      <c r="C362" s="1">
        <v>2000</v>
      </c>
      <c r="D362" s="1">
        <f>VLOOKUP(A362,'לעדכון ראובן'!$A$5:$F$1028,6,FALSE)</f>
        <v>2000</v>
      </c>
      <c r="E362" s="1">
        <f t="shared" si="5"/>
        <v>0</v>
      </c>
    </row>
    <row r="363" spans="1:5" x14ac:dyDescent="0.15">
      <c r="A363">
        <v>1860000522</v>
      </c>
      <c r="B363" t="s">
        <v>885</v>
      </c>
      <c r="C363" s="1">
        <v>1500</v>
      </c>
      <c r="D363" s="1">
        <f>VLOOKUP(A363,'לעדכון ראובן'!$A$5:$F$1028,6,FALSE)</f>
        <v>1500</v>
      </c>
      <c r="E363" s="1">
        <f t="shared" si="5"/>
        <v>0</v>
      </c>
    </row>
    <row r="364" spans="1:5" x14ac:dyDescent="0.15">
      <c r="A364">
        <v>1860000780</v>
      </c>
      <c r="B364" t="s">
        <v>580</v>
      </c>
      <c r="C364" s="1">
        <v>231670</v>
      </c>
      <c r="D364" s="1">
        <f>VLOOKUP(A364,'לעדכון ראובן'!$A$5:$F$1028,6,FALSE)</f>
        <v>231670</v>
      </c>
      <c r="E364" s="1">
        <f t="shared" si="5"/>
        <v>0</v>
      </c>
    </row>
    <row r="365" spans="1:5" x14ac:dyDescent="0.15">
      <c r="A365">
        <v>1860000910</v>
      </c>
      <c r="B365" t="s">
        <v>741</v>
      </c>
      <c r="C365" s="1">
        <v>25858</v>
      </c>
      <c r="D365" s="1">
        <f>VLOOKUP(A365,'לעדכון ראובן'!$A$5:$F$1028,6,FALSE)</f>
        <v>25858</v>
      </c>
      <c r="E365" s="1">
        <f t="shared" si="5"/>
        <v>0</v>
      </c>
    </row>
    <row r="366" spans="1:5" x14ac:dyDescent="0.15">
      <c r="A366">
        <v>1869000980</v>
      </c>
      <c r="B366" t="s">
        <v>886</v>
      </c>
      <c r="C366" s="1">
        <v>72000</v>
      </c>
      <c r="D366" s="1">
        <f>VLOOKUP(A366,'לעדכון ראובן'!$A$5:$F$1028,6,FALSE)</f>
        <v>72000</v>
      </c>
      <c r="E366" s="1">
        <f t="shared" si="5"/>
        <v>0</v>
      </c>
    </row>
    <row r="367" spans="1:5" x14ac:dyDescent="0.15">
      <c r="A367">
        <v>1879000810</v>
      </c>
      <c r="B367" t="s">
        <v>887</v>
      </c>
      <c r="C367" s="1">
        <v>140019</v>
      </c>
      <c r="D367" s="1">
        <f>VLOOKUP(A367,'לעדכון ראובן'!$A$5:$F$1028,6,FALSE)</f>
        <v>140019</v>
      </c>
      <c r="E367" s="1">
        <f t="shared" si="5"/>
        <v>0</v>
      </c>
    </row>
    <row r="368" spans="1:5" x14ac:dyDescent="0.15">
      <c r="A368">
        <v>1913000750</v>
      </c>
      <c r="B368" t="s">
        <v>714</v>
      </c>
      <c r="C368" s="1">
        <v>280778</v>
      </c>
      <c r="D368" s="1">
        <f>VLOOKUP(A368,'לעדכון ראובן'!$A$5:$F$1028,6,FALSE)</f>
        <v>280778</v>
      </c>
      <c r="E368" s="1">
        <f t="shared" si="5"/>
        <v>0</v>
      </c>
    </row>
    <row r="369" spans="1:5" x14ac:dyDescent="0.15">
      <c r="A369">
        <v>1931000450</v>
      </c>
      <c r="B369" t="s">
        <v>888</v>
      </c>
      <c r="C369" s="1">
        <v>15000</v>
      </c>
      <c r="D369" s="1">
        <f>VLOOKUP(A369,'לעדכון ראובן'!$A$5:$F$1028,6,FALSE)</f>
        <v>15000</v>
      </c>
      <c r="E369" s="1">
        <f t="shared" si="5"/>
        <v>0</v>
      </c>
    </row>
    <row r="370" spans="1:5" x14ac:dyDescent="0.15">
      <c r="A370">
        <v>1931000511</v>
      </c>
      <c r="B370" t="s">
        <v>889</v>
      </c>
      <c r="C370" s="1">
        <v>2000</v>
      </c>
      <c r="D370" s="1">
        <f>VLOOKUP(A370,'לעדכון ראובן'!$A$5:$F$1028,6,FALSE)</f>
        <v>2000</v>
      </c>
      <c r="E370" s="1">
        <f t="shared" si="5"/>
        <v>0</v>
      </c>
    </row>
    <row r="371" spans="1:5" x14ac:dyDescent="0.15">
      <c r="A371">
        <v>1931000731</v>
      </c>
      <c r="B371" t="s">
        <v>891</v>
      </c>
      <c r="C371" s="1">
        <v>7500</v>
      </c>
      <c r="D371" s="1">
        <f>VLOOKUP(A371,'לעדכון ראובן'!$A$5:$F$1028,6,FALSE)</f>
        <v>7500</v>
      </c>
      <c r="E371" s="1">
        <f t="shared" si="5"/>
        <v>0</v>
      </c>
    </row>
    <row r="372" spans="1:5" x14ac:dyDescent="0.15">
      <c r="A372">
        <v>1931000750</v>
      </c>
      <c r="B372" t="s">
        <v>714</v>
      </c>
      <c r="C372" s="1">
        <v>370000</v>
      </c>
      <c r="D372" s="1">
        <f>VLOOKUP(A372,'לעדכון ראובן'!$A$5:$F$1028,6,FALSE)</f>
        <v>370000</v>
      </c>
      <c r="E372" s="1">
        <f t="shared" si="5"/>
        <v>0</v>
      </c>
    </row>
    <row r="373" spans="1:5" x14ac:dyDescent="0.15">
      <c r="A373">
        <v>1931000980</v>
      </c>
      <c r="B373" t="s">
        <v>580</v>
      </c>
      <c r="C373" s="1">
        <v>50000</v>
      </c>
      <c r="D373" s="1">
        <f>VLOOKUP(A373,'לעדכון ראובן'!$A$5:$F$1028,6,FALSE)</f>
        <v>50000</v>
      </c>
      <c r="E373" s="1">
        <f t="shared" si="5"/>
        <v>0</v>
      </c>
    </row>
    <row r="374" spans="1:5" x14ac:dyDescent="0.15">
      <c r="A374">
        <v>1937000780</v>
      </c>
      <c r="B374" t="s">
        <v>580</v>
      </c>
      <c r="C374" s="1">
        <v>45000</v>
      </c>
      <c r="D374" s="1">
        <f>VLOOKUP(A374,'לעדכון ראובן'!$A$5:$F$1028,6,FALSE)</f>
        <v>45000</v>
      </c>
      <c r="E374" s="1">
        <f t="shared" si="5"/>
        <v>0</v>
      </c>
    </row>
    <row r="375" spans="1:5" x14ac:dyDescent="0.15">
      <c r="A375">
        <v>1938000430</v>
      </c>
      <c r="B375" t="s">
        <v>839</v>
      </c>
      <c r="C375" s="1">
        <v>700000</v>
      </c>
      <c r="D375" s="1">
        <f>VLOOKUP(A375,'לעדכון ראובן'!$A$5:$F$1028,6,FALSE)</f>
        <v>700000</v>
      </c>
      <c r="E375" s="1">
        <f t="shared" si="5"/>
        <v>0</v>
      </c>
    </row>
    <row r="376" spans="1:5" x14ac:dyDescent="0.15">
      <c r="A376">
        <v>1938000731</v>
      </c>
      <c r="B376" t="s">
        <v>898</v>
      </c>
      <c r="C376" s="1">
        <v>12000</v>
      </c>
      <c r="D376" s="1">
        <f>VLOOKUP(A376,'לעדכון ראובן'!$A$5:$F$1028,6,FALSE)</f>
        <v>12000</v>
      </c>
      <c r="E376" s="1">
        <f t="shared" si="5"/>
        <v>0</v>
      </c>
    </row>
    <row r="377" spans="1:5" x14ac:dyDescent="0.15">
      <c r="A377">
        <v>1938000760</v>
      </c>
      <c r="B377" t="s">
        <v>900</v>
      </c>
      <c r="C377" s="1">
        <v>18350</v>
      </c>
      <c r="D377" s="1">
        <f>VLOOKUP(A377,'לעדכון ראובן'!$A$5:$F$1028,6,FALSE)</f>
        <v>18350</v>
      </c>
      <c r="E377" s="1">
        <f t="shared" si="5"/>
        <v>0</v>
      </c>
    </row>
    <row r="378" spans="1:5" x14ac:dyDescent="0.15">
      <c r="A378">
        <v>1938000910</v>
      </c>
      <c r="B378" t="s">
        <v>901</v>
      </c>
      <c r="C378" s="1">
        <v>60000</v>
      </c>
      <c r="D378" s="1">
        <f>VLOOKUP(A378,'לעדכון ראובן'!$A$5:$F$1028,6,FALSE)</f>
        <v>60000</v>
      </c>
      <c r="E378" s="1">
        <f t="shared" si="5"/>
        <v>0</v>
      </c>
    </row>
    <row r="379" spans="1:5" x14ac:dyDescent="0.15">
      <c r="A379">
        <v>1938100560</v>
      </c>
      <c r="B379" t="s">
        <v>820</v>
      </c>
      <c r="C379" s="1">
        <v>1000</v>
      </c>
      <c r="D379" s="1">
        <f>VLOOKUP(A379,'לעדכון ראובן'!$A$5:$F$1028,6,FALSE)</f>
        <v>1000</v>
      </c>
      <c r="E379" s="1">
        <f t="shared" si="5"/>
        <v>0</v>
      </c>
    </row>
    <row r="380" spans="1:5" x14ac:dyDescent="0.15">
      <c r="A380">
        <v>1939000730</v>
      </c>
      <c r="B380" t="s">
        <v>903</v>
      </c>
      <c r="C380" s="1">
        <v>64300</v>
      </c>
      <c r="D380" s="1">
        <f>VLOOKUP(A380,'לעדכון ראובן'!$A$5:$F$1028,6,FALSE)</f>
        <v>64300</v>
      </c>
      <c r="E380" s="1">
        <f t="shared" si="5"/>
        <v>0</v>
      </c>
    </row>
    <row r="381" spans="1:5" x14ac:dyDescent="0.15">
      <c r="A381">
        <v>1939000731</v>
      </c>
      <c r="B381" t="s">
        <v>904</v>
      </c>
      <c r="C381" s="1">
        <v>140000</v>
      </c>
      <c r="D381" s="1">
        <f>VLOOKUP(A381,'לעדכון ראובן'!$A$5:$F$1028,6,FALSE)</f>
        <v>140000</v>
      </c>
      <c r="E381" s="1">
        <f t="shared" si="5"/>
        <v>0</v>
      </c>
    </row>
    <row r="382" spans="1:5" x14ac:dyDescent="0.15">
      <c r="A382">
        <v>1939003731</v>
      </c>
      <c r="B382" t="s">
        <v>905</v>
      </c>
      <c r="C382" s="1">
        <v>7500</v>
      </c>
      <c r="D382" s="1">
        <f>VLOOKUP(A382,'לעדכון ראובן'!$A$5:$F$1028,6,FALSE)</f>
        <v>7500</v>
      </c>
      <c r="E382" s="1">
        <f t="shared" si="5"/>
        <v>0</v>
      </c>
    </row>
    <row r="383" spans="1:5" x14ac:dyDescent="0.15">
      <c r="A383">
        <v>1939004731</v>
      </c>
      <c r="B383" t="s">
        <v>906</v>
      </c>
      <c r="C383" s="1">
        <v>60000</v>
      </c>
      <c r="D383" s="1">
        <f>VLOOKUP(A383,'לעדכון ראובן'!$A$5:$F$1028,6,FALSE)</f>
        <v>60000</v>
      </c>
      <c r="E383" s="1">
        <f t="shared" si="5"/>
        <v>0</v>
      </c>
    </row>
    <row r="384" spans="1:5" x14ac:dyDescent="0.15">
      <c r="A384">
        <v>1939006731</v>
      </c>
      <c r="B384" t="s">
        <v>907</v>
      </c>
      <c r="C384" s="1">
        <v>3000</v>
      </c>
      <c r="D384" s="1">
        <f>VLOOKUP(A384,'לעדכון ראובן'!$A$5:$F$1028,6,FALSE)</f>
        <v>3000</v>
      </c>
      <c r="E384" s="1">
        <f t="shared" si="5"/>
        <v>0</v>
      </c>
    </row>
    <row r="385" spans="1:5" x14ac:dyDescent="0.15">
      <c r="A385">
        <v>1972000750</v>
      </c>
      <c r="B385" t="s">
        <v>912</v>
      </c>
      <c r="C385" s="1">
        <v>250000</v>
      </c>
      <c r="D385" s="1">
        <f>VLOOKUP(A385,'לעדכון ראובן'!$A$5:$F$1028,6,FALSE)</f>
        <v>250000</v>
      </c>
      <c r="E385" s="1">
        <f t="shared" si="5"/>
        <v>0</v>
      </c>
    </row>
    <row r="386" spans="1:5" x14ac:dyDescent="0.15">
      <c r="A386">
        <v>1972000770</v>
      </c>
      <c r="B386" t="s">
        <v>740</v>
      </c>
      <c r="C386" s="1">
        <v>10000</v>
      </c>
      <c r="D386" s="1">
        <f>VLOOKUP(A386,'לעדכון ראובן'!$A$5:$F$1028,6,FALSE)</f>
        <v>10000</v>
      </c>
      <c r="E386" s="1">
        <f t="shared" si="5"/>
        <v>0</v>
      </c>
    </row>
    <row r="387" spans="1:5" x14ac:dyDescent="0.15">
      <c r="A387">
        <v>1980000733</v>
      </c>
      <c r="B387" t="s">
        <v>914</v>
      </c>
      <c r="C387" s="1">
        <v>150000</v>
      </c>
      <c r="D387" s="1">
        <f>VLOOKUP(A387,'לעדכון ראובן'!$A$5:$F$1028,6,FALSE)</f>
        <v>150000</v>
      </c>
      <c r="E387" s="1">
        <f t="shared" si="5"/>
        <v>0</v>
      </c>
    </row>
    <row r="388" spans="1:5" x14ac:dyDescent="0.15">
      <c r="A388">
        <v>1772000780</v>
      </c>
      <c r="B388" t="s">
        <v>580</v>
      </c>
      <c r="C388" s="1">
        <v>1800</v>
      </c>
      <c r="D388" s="1">
        <f>VLOOKUP(A388,'לעדכון ראובן'!$A$5:$F$1028,6,FALSE)</f>
        <v>1815</v>
      </c>
      <c r="E388" s="1">
        <f t="shared" ref="E388:E445" si="6">C388-D388</f>
        <v>-15</v>
      </c>
    </row>
    <row r="389" spans="1:5" x14ac:dyDescent="0.15">
      <c r="A389">
        <v>1939012731</v>
      </c>
      <c r="B389" t="s">
        <v>909</v>
      </c>
      <c r="C389" s="1">
        <v>1200</v>
      </c>
      <c r="D389" s="1">
        <f>VLOOKUP(A389,'לעדכון ראובן'!$A$5:$F$1028,6,FALSE)</f>
        <v>1400</v>
      </c>
      <c r="E389" s="1">
        <f t="shared" si="6"/>
        <v>-200</v>
      </c>
    </row>
    <row r="390" spans="1:5" x14ac:dyDescent="0.15">
      <c r="A390">
        <v>1764000511</v>
      </c>
      <c r="B390" t="s">
        <v>790</v>
      </c>
      <c r="C390" s="1">
        <v>6700</v>
      </c>
      <c r="D390" s="1">
        <f>VLOOKUP(A390,'לעדכון ראובן'!$A$5:$F$1028,6,FALSE)</f>
        <v>7000</v>
      </c>
      <c r="E390" s="1">
        <f t="shared" si="6"/>
        <v>-300</v>
      </c>
    </row>
    <row r="391" spans="1:5" x14ac:dyDescent="0.15">
      <c r="A391">
        <v>1939000560</v>
      </c>
      <c r="B391" t="s">
        <v>820</v>
      </c>
      <c r="C391">
        <v>400</v>
      </c>
      <c r="D391" s="1">
        <f>VLOOKUP(A391,'לעדכון ראובן'!$A$5:$F$1028,6,FALSE)</f>
        <v>700</v>
      </c>
      <c r="E391" s="1">
        <f t="shared" si="6"/>
        <v>-300</v>
      </c>
    </row>
    <row r="392" spans="1:5" x14ac:dyDescent="0.15">
      <c r="A392">
        <v>1617000522</v>
      </c>
      <c r="B392" t="s">
        <v>600</v>
      </c>
      <c r="C392" s="1">
        <v>7000</v>
      </c>
      <c r="D392" s="1">
        <f>VLOOKUP(A392,'לעדכון ראובן'!$A$5:$F$1028,6,FALSE)</f>
        <v>7500</v>
      </c>
      <c r="E392" s="1">
        <f t="shared" si="6"/>
        <v>-500</v>
      </c>
    </row>
    <row r="393" spans="1:5" x14ac:dyDescent="0.15">
      <c r="A393">
        <v>1621300470</v>
      </c>
      <c r="B393" t="s">
        <v>622</v>
      </c>
      <c r="C393" s="1">
        <v>1500</v>
      </c>
      <c r="D393" s="1">
        <f>VLOOKUP(A393,'לעדכון ראובן'!$A$5:$F$1028,6,FALSE)</f>
        <v>2000</v>
      </c>
      <c r="E393" s="1">
        <f t="shared" si="6"/>
        <v>-500</v>
      </c>
    </row>
    <row r="394" spans="1:5" x14ac:dyDescent="0.15">
      <c r="A394">
        <v>1714300731</v>
      </c>
      <c r="B394" t="s">
        <v>692</v>
      </c>
      <c r="C394" s="1">
        <v>1000</v>
      </c>
      <c r="D394" s="1">
        <f>VLOOKUP(A394,'לעדכון ראובן'!$A$5:$F$1028,6,FALSE)</f>
        <v>1500</v>
      </c>
      <c r="E394" s="1">
        <f t="shared" si="6"/>
        <v>-500</v>
      </c>
    </row>
    <row r="395" spans="1:5" x14ac:dyDescent="0.15">
      <c r="A395">
        <v>1743005731</v>
      </c>
      <c r="B395" t="s">
        <v>746</v>
      </c>
      <c r="C395" s="1">
        <v>1000</v>
      </c>
      <c r="D395" s="1">
        <f>VLOOKUP(A395,'לעדכון ראובן'!$A$5:$F$1028,6,FALSE)</f>
        <v>1500</v>
      </c>
      <c r="E395" s="1">
        <f t="shared" si="6"/>
        <v>-500</v>
      </c>
    </row>
    <row r="396" spans="1:5" x14ac:dyDescent="0.15">
      <c r="A396">
        <v>1751002731</v>
      </c>
      <c r="B396" t="s">
        <v>779</v>
      </c>
      <c r="C396" s="1">
        <v>2000</v>
      </c>
      <c r="D396" s="1">
        <f>VLOOKUP(A396,'לעדכון ראובן'!$A$5:$F$1028,6,FALSE)</f>
        <v>2500</v>
      </c>
      <c r="E396" s="1">
        <f t="shared" si="6"/>
        <v>-500</v>
      </c>
    </row>
    <row r="397" spans="1:5" x14ac:dyDescent="0.15">
      <c r="A397">
        <v>1751003731</v>
      </c>
      <c r="B397" t="s">
        <v>781</v>
      </c>
      <c r="C397" s="1">
        <v>1000</v>
      </c>
      <c r="D397" s="1">
        <f>VLOOKUP(A397,'לעדכון ראובן'!$A$5:$F$1028,6,FALSE)</f>
        <v>1500</v>
      </c>
      <c r="E397" s="1">
        <f t="shared" si="6"/>
        <v>-500</v>
      </c>
    </row>
    <row r="398" spans="1:5" x14ac:dyDescent="0.15">
      <c r="A398">
        <v>1781365731</v>
      </c>
      <c r="B398" t="s">
        <v>817</v>
      </c>
      <c r="C398" s="1">
        <v>28000</v>
      </c>
      <c r="D398" s="1">
        <f>VLOOKUP(A398,'לעדכון ראובן'!$A$5:$F$1028,6,FALSE)</f>
        <v>28500</v>
      </c>
      <c r="E398" s="1">
        <f t="shared" si="6"/>
        <v>-500</v>
      </c>
    </row>
    <row r="399" spans="1:5" x14ac:dyDescent="0.15">
      <c r="A399">
        <v>1939000980</v>
      </c>
      <c r="B399" t="s">
        <v>580</v>
      </c>
      <c r="C399" s="1">
        <v>7500</v>
      </c>
      <c r="D399" s="1">
        <f>VLOOKUP(A399,'לעדכון ראובן'!$A$5:$F$1028,6,FALSE)</f>
        <v>8000</v>
      </c>
      <c r="E399" s="1">
        <f t="shared" si="6"/>
        <v>-500</v>
      </c>
    </row>
    <row r="400" spans="1:5" x14ac:dyDescent="0.15">
      <c r="A400">
        <v>1938100780</v>
      </c>
      <c r="B400" t="s">
        <v>580</v>
      </c>
      <c r="C400" s="1">
        <v>2450</v>
      </c>
      <c r="D400" s="1">
        <f>VLOOKUP(A400,'לעדכון ראובן'!$A$5:$F$1028,6,FALSE)</f>
        <v>3000</v>
      </c>
      <c r="E400" s="1">
        <f t="shared" si="6"/>
        <v>-550</v>
      </c>
    </row>
    <row r="401" spans="1:5" x14ac:dyDescent="0.15">
      <c r="A401">
        <v>1939000780</v>
      </c>
      <c r="B401" t="s">
        <v>580</v>
      </c>
      <c r="C401" s="1">
        <v>1000</v>
      </c>
      <c r="D401" s="1">
        <f>VLOOKUP(A401,'לעדכון ראובן'!$A$5:$F$1028,6,FALSE)</f>
        <v>1700</v>
      </c>
      <c r="E401" s="1">
        <f t="shared" si="6"/>
        <v>-700</v>
      </c>
    </row>
    <row r="402" spans="1:5" x14ac:dyDescent="0.15">
      <c r="A402">
        <v>1612000523</v>
      </c>
      <c r="B402" t="s">
        <v>564</v>
      </c>
      <c r="C402">
        <v>900</v>
      </c>
      <c r="D402" s="1">
        <f>VLOOKUP(A402,'לעדכון ראובן'!$A$5:$F$1028,6,FALSE)</f>
        <v>1800</v>
      </c>
      <c r="E402" s="1">
        <f t="shared" si="6"/>
        <v>-900</v>
      </c>
    </row>
    <row r="403" spans="1:5" x14ac:dyDescent="0.15">
      <c r="A403">
        <v>1617000570</v>
      </c>
      <c r="B403" t="s">
        <v>605</v>
      </c>
      <c r="C403" s="1">
        <v>13000</v>
      </c>
      <c r="D403" s="1">
        <f>VLOOKUP(A403,'לעדכון ראובן'!$A$5:$F$1028,6,FALSE)</f>
        <v>14000</v>
      </c>
      <c r="E403" s="1">
        <f t="shared" si="6"/>
        <v>-1000</v>
      </c>
    </row>
    <row r="404" spans="1:5" x14ac:dyDescent="0.15">
      <c r="A404">
        <v>1712202731</v>
      </c>
      <c r="B404" t="s">
        <v>660</v>
      </c>
      <c r="C404" s="1">
        <v>6000</v>
      </c>
      <c r="D404" s="1">
        <f>VLOOKUP(A404,'לעדכון ראובן'!$A$5:$F$1028,6,FALSE)</f>
        <v>7000</v>
      </c>
      <c r="E404" s="1">
        <f t="shared" si="6"/>
        <v>-1000</v>
      </c>
    </row>
    <row r="405" spans="1:5" x14ac:dyDescent="0.15">
      <c r="A405">
        <v>1772000511</v>
      </c>
      <c r="B405" t="s">
        <v>802</v>
      </c>
      <c r="C405">
        <v>800</v>
      </c>
      <c r="D405" s="1">
        <f>VLOOKUP(A405,'לעדכון ראובן'!$A$5:$F$1028,6,FALSE)</f>
        <v>1800</v>
      </c>
      <c r="E405" s="1">
        <f t="shared" si="6"/>
        <v>-1000</v>
      </c>
    </row>
    <row r="406" spans="1:5" x14ac:dyDescent="0.15">
      <c r="A406">
        <v>1743006731</v>
      </c>
      <c r="B406" t="s">
        <v>747</v>
      </c>
      <c r="C406" s="1">
        <v>1000</v>
      </c>
      <c r="D406" s="1">
        <f>VLOOKUP(A406,'לעדכון ראובן'!$A$5:$F$1028,6,FALSE)</f>
        <v>2500</v>
      </c>
      <c r="E406" s="1">
        <f t="shared" si="6"/>
        <v>-1500</v>
      </c>
    </row>
    <row r="407" spans="1:5" x14ac:dyDescent="0.15">
      <c r="A407">
        <v>1826400540</v>
      </c>
      <c r="B407" t="s">
        <v>875</v>
      </c>
      <c r="C407" s="1">
        <v>4200</v>
      </c>
      <c r="D407" s="1">
        <f>VLOOKUP(A407,'לעדכון ראובן'!$A$5:$F$1028,6,FALSE)</f>
        <v>6000</v>
      </c>
      <c r="E407" s="1">
        <f t="shared" si="6"/>
        <v>-1800</v>
      </c>
    </row>
    <row r="408" spans="1:5" x14ac:dyDescent="0.15">
      <c r="A408">
        <v>1621100522</v>
      </c>
      <c r="B408" t="s">
        <v>615</v>
      </c>
      <c r="C408" s="1">
        <v>6000</v>
      </c>
      <c r="D408" s="1">
        <f>VLOOKUP(A408,'לעדכון ראובן'!$A$5:$F$1028,6,FALSE)</f>
        <v>8000</v>
      </c>
      <c r="E408" s="1">
        <f t="shared" si="6"/>
        <v>-2000</v>
      </c>
    </row>
    <row r="409" spans="1:5" x14ac:dyDescent="0.15">
      <c r="A409">
        <v>1623000930</v>
      </c>
      <c r="B409" t="s">
        <v>643</v>
      </c>
      <c r="C409" s="1">
        <v>2000</v>
      </c>
      <c r="D409" s="1">
        <f>VLOOKUP(A409,'לעדכון ראובן'!$A$5:$F$1028,6,FALSE)</f>
        <v>4000</v>
      </c>
      <c r="E409" s="1">
        <f t="shared" si="6"/>
        <v>-2000</v>
      </c>
    </row>
    <row r="410" spans="1:5" x14ac:dyDescent="0.15">
      <c r="A410">
        <v>1712500731</v>
      </c>
      <c r="B410" t="s">
        <v>681</v>
      </c>
      <c r="C410" s="1">
        <v>10000</v>
      </c>
      <c r="D410" s="1">
        <f>VLOOKUP(A410,'לעדכון ראובן'!$A$5:$F$1028,6,FALSE)</f>
        <v>12000</v>
      </c>
      <c r="E410" s="1">
        <f t="shared" si="6"/>
        <v>-2000</v>
      </c>
    </row>
    <row r="411" spans="1:5" x14ac:dyDescent="0.15">
      <c r="A411">
        <v>1722001731</v>
      </c>
      <c r="B411" t="s">
        <v>706</v>
      </c>
      <c r="C411" s="1">
        <v>18000</v>
      </c>
      <c r="D411" s="1">
        <f>VLOOKUP(A411,'לעדכון ראובן'!$A$5:$F$1028,6,FALSE)</f>
        <v>20000</v>
      </c>
      <c r="E411" s="1">
        <f t="shared" si="6"/>
        <v>-2000</v>
      </c>
    </row>
    <row r="412" spans="1:5" x14ac:dyDescent="0.15">
      <c r="A412">
        <v>1761000540</v>
      </c>
      <c r="B412" t="s">
        <v>786</v>
      </c>
      <c r="C412" s="1">
        <v>6000</v>
      </c>
      <c r="D412" s="1">
        <f>VLOOKUP(A412,'לעדכון ראובן'!$A$5:$F$1028,6,FALSE)</f>
        <v>8400</v>
      </c>
      <c r="E412" s="1">
        <f t="shared" si="6"/>
        <v>-2400</v>
      </c>
    </row>
    <row r="413" spans="1:5" x14ac:dyDescent="0.15">
      <c r="A413">
        <v>1764000560</v>
      </c>
      <c r="B413" t="s">
        <v>664</v>
      </c>
      <c r="C413" s="1">
        <v>3340</v>
      </c>
      <c r="D413" s="1">
        <f>VLOOKUP(A413,'לעדכון ראובן'!$A$5:$F$1028,6,FALSE)</f>
        <v>6000</v>
      </c>
      <c r="E413" s="1">
        <f t="shared" si="6"/>
        <v>-2660</v>
      </c>
    </row>
    <row r="414" spans="1:5" x14ac:dyDescent="0.15">
      <c r="A414">
        <v>1781000570</v>
      </c>
      <c r="B414" t="s">
        <v>808</v>
      </c>
      <c r="C414" s="1">
        <v>25000</v>
      </c>
      <c r="D414" s="1">
        <f>VLOOKUP(A414,'לעדכון ראובן'!$A$5:$F$1028,6,FALSE)</f>
        <v>27960</v>
      </c>
      <c r="E414" s="1">
        <f t="shared" si="6"/>
        <v>-2960</v>
      </c>
    </row>
    <row r="415" spans="1:5" x14ac:dyDescent="0.15">
      <c r="A415">
        <v>1746100731</v>
      </c>
      <c r="B415" t="s">
        <v>764</v>
      </c>
      <c r="C415" s="1">
        <v>40000</v>
      </c>
      <c r="D415" s="1">
        <f>VLOOKUP(A415,'לעדכון ראובן'!$A$5:$F$1028,6,FALSE)</f>
        <v>43000</v>
      </c>
      <c r="E415" s="1">
        <f t="shared" si="6"/>
        <v>-3000</v>
      </c>
    </row>
    <row r="416" spans="1:5" x14ac:dyDescent="0.15">
      <c r="A416">
        <v>1939000410</v>
      </c>
      <c r="B416" t="s">
        <v>902</v>
      </c>
      <c r="C416" s="1">
        <v>196458</v>
      </c>
      <c r="D416" s="1">
        <f>VLOOKUP(A416,'לעדכון ראובן'!$A$5:$F$1028,6,FALSE)</f>
        <v>200000</v>
      </c>
      <c r="E416" s="1">
        <f t="shared" si="6"/>
        <v>-3542</v>
      </c>
    </row>
    <row r="417" spans="1:5" x14ac:dyDescent="0.15">
      <c r="A417">
        <v>1938000571</v>
      </c>
      <c r="B417" t="s">
        <v>897</v>
      </c>
      <c r="C417" s="1">
        <v>76500</v>
      </c>
      <c r="D417" s="1">
        <f>VLOOKUP(A417,'לעדכון ראובן'!$A$5:$F$1028,6,FALSE)</f>
        <v>80400</v>
      </c>
      <c r="E417" s="1">
        <f t="shared" si="6"/>
        <v>-3900</v>
      </c>
    </row>
    <row r="418" spans="1:5" x14ac:dyDescent="0.15">
      <c r="A418">
        <v>1621500930</v>
      </c>
      <c r="B418" t="s">
        <v>633</v>
      </c>
      <c r="C418" s="1">
        <v>3000</v>
      </c>
      <c r="D418" s="1">
        <f>VLOOKUP(A418,'לעדכון ראובן'!$A$5:$F$1028,6,FALSE)</f>
        <v>7000</v>
      </c>
      <c r="E418" s="1">
        <f t="shared" si="6"/>
        <v>-4000</v>
      </c>
    </row>
    <row r="419" spans="1:5" x14ac:dyDescent="0.15">
      <c r="A419">
        <v>1747000731</v>
      </c>
      <c r="B419" t="s">
        <v>771</v>
      </c>
      <c r="C419" s="1">
        <v>10000</v>
      </c>
      <c r="D419" s="1">
        <f>VLOOKUP(A419,'לעדכון ראובן'!$A$5:$F$1028,6,FALSE)</f>
        <v>14000</v>
      </c>
      <c r="E419" s="1">
        <f t="shared" si="6"/>
        <v>-4000</v>
      </c>
    </row>
    <row r="420" spans="1:5" x14ac:dyDescent="0.15">
      <c r="A420">
        <v>1712303731</v>
      </c>
      <c r="B420" t="s">
        <v>672</v>
      </c>
      <c r="C420" s="1">
        <v>40000</v>
      </c>
      <c r="D420" s="1">
        <f>VLOOKUP(A420,'לעדכון ראובן'!$A$5:$F$1028,6,FALSE)</f>
        <v>45000</v>
      </c>
      <c r="E420" s="1">
        <f t="shared" si="6"/>
        <v>-5000</v>
      </c>
    </row>
    <row r="421" spans="1:5" x14ac:dyDescent="0.15">
      <c r="A421">
        <v>1712314731</v>
      </c>
      <c r="B421" t="s">
        <v>679</v>
      </c>
      <c r="C421" s="1">
        <v>110000</v>
      </c>
      <c r="D421" s="1">
        <f>VLOOKUP(A421,'לעדכון ראובן'!$A$5:$F$1028,6,FALSE)</f>
        <v>115000</v>
      </c>
      <c r="E421" s="1">
        <f t="shared" si="6"/>
        <v>-5000</v>
      </c>
    </row>
    <row r="422" spans="1:5" x14ac:dyDescent="0.15">
      <c r="A422">
        <v>1712316731</v>
      </c>
      <c r="B422" t="s">
        <v>680</v>
      </c>
      <c r="C422" s="1">
        <v>110000</v>
      </c>
      <c r="D422" s="1">
        <f>VLOOKUP(A422,'לעדכון ראובן'!$A$5:$F$1028,6,FALSE)</f>
        <v>115000</v>
      </c>
      <c r="E422" s="1">
        <f t="shared" si="6"/>
        <v>-5000</v>
      </c>
    </row>
    <row r="423" spans="1:5" x14ac:dyDescent="0.15">
      <c r="A423">
        <v>1764000731</v>
      </c>
      <c r="B423" t="s">
        <v>791</v>
      </c>
      <c r="C423" s="1">
        <v>30000</v>
      </c>
      <c r="D423" s="1">
        <f>VLOOKUP(A423,'לעדכון ראובן'!$A$5:$F$1028,6,FALSE)</f>
        <v>35000</v>
      </c>
      <c r="E423" s="1">
        <f t="shared" si="6"/>
        <v>-5000</v>
      </c>
    </row>
    <row r="424" spans="1:5" x14ac:dyDescent="0.15">
      <c r="A424">
        <v>1939018731</v>
      </c>
      <c r="B424" t="s">
        <v>911</v>
      </c>
      <c r="C424" s="1">
        <v>8000</v>
      </c>
      <c r="D424" s="1">
        <f>VLOOKUP(A424,'לעדכון ראובן'!$A$5:$F$1028,6,FALSE)</f>
        <v>13000</v>
      </c>
      <c r="E424" s="1">
        <f t="shared" si="6"/>
        <v>-5000</v>
      </c>
    </row>
    <row r="425" spans="1:5" x14ac:dyDescent="0.15">
      <c r="A425">
        <v>1749000731</v>
      </c>
      <c r="B425" t="s">
        <v>775</v>
      </c>
      <c r="C425" s="1">
        <v>22000</v>
      </c>
      <c r="D425" s="1">
        <f>VLOOKUP(A425,'לעדכון ראובן'!$A$5:$F$1028,6,FALSE)</f>
        <v>28000</v>
      </c>
      <c r="E425" s="1">
        <f t="shared" si="6"/>
        <v>-6000</v>
      </c>
    </row>
    <row r="426" spans="1:5" x14ac:dyDescent="0.15">
      <c r="A426">
        <v>1931000560</v>
      </c>
      <c r="B426" t="s">
        <v>890</v>
      </c>
      <c r="C426" s="1">
        <v>5000</v>
      </c>
      <c r="D426" s="1">
        <f>VLOOKUP(A426,'לעדכון ראובן'!$A$5:$F$1028,6,FALSE)</f>
        <v>12000</v>
      </c>
      <c r="E426" s="1">
        <f t="shared" si="6"/>
        <v>-7000</v>
      </c>
    </row>
    <row r="427" spans="1:5" x14ac:dyDescent="0.15">
      <c r="A427">
        <v>1749000750</v>
      </c>
      <c r="B427" t="s">
        <v>714</v>
      </c>
      <c r="C427" s="1">
        <v>12000</v>
      </c>
      <c r="D427" s="1">
        <f>VLOOKUP(A427,'לעדכון ראובן'!$A$5:$F$1028,6,FALSE)</f>
        <v>20000</v>
      </c>
      <c r="E427" s="1">
        <f t="shared" si="6"/>
        <v>-8000</v>
      </c>
    </row>
    <row r="428" spans="1:5" x14ac:dyDescent="0.15">
      <c r="A428">
        <v>1611000521</v>
      </c>
      <c r="B428" t="s">
        <v>547</v>
      </c>
      <c r="C428" s="1">
        <v>26000</v>
      </c>
      <c r="D428" s="1">
        <f>VLOOKUP(A428,'לעדכון ראובן'!$A$5:$F$1028,6,FALSE)</f>
        <v>34047.4</v>
      </c>
      <c r="E428" s="1">
        <f t="shared" si="6"/>
        <v>-8047.4000000000015</v>
      </c>
    </row>
    <row r="429" spans="1:5" x14ac:dyDescent="0.15">
      <c r="A429">
        <v>1764000760</v>
      </c>
      <c r="B429" t="s">
        <v>552</v>
      </c>
      <c r="C429" s="1">
        <v>10000</v>
      </c>
      <c r="D429" s="1">
        <f>VLOOKUP(A429,'לעדכון ראובן'!$A$5:$F$1028,6,FALSE)</f>
        <v>19000</v>
      </c>
      <c r="E429" s="1">
        <f t="shared" si="6"/>
        <v>-9000</v>
      </c>
    </row>
    <row r="430" spans="1:5" x14ac:dyDescent="0.15">
      <c r="A430">
        <v>1617000930</v>
      </c>
      <c r="B430" t="s">
        <v>608</v>
      </c>
      <c r="C430" s="1">
        <v>15000</v>
      </c>
      <c r="D430" s="1">
        <f>VLOOKUP(A430,'לעדכון ראובן'!$A$5:$F$1028,6,FALSE)</f>
        <v>24500</v>
      </c>
      <c r="E430" s="1">
        <f t="shared" si="6"/>
        <v>-9500</v>
      </c>
    </row>
    <row r="431" spans="1:5" x14ac:dyDescent="0.15">
      <c r="A431">
        <v>1611100530</v>
      </c>
      <c r="B431" t="s">
        <v>559</v>
      </c>
      <c r="C431" s="1">
        <v>69000</v>
      </c>
      <c r="D431" s="1">
        <f>VLOOKUP(A431,'לעדכון ראובן'!$A$5:$F$1028,6,FALSE)</f>
        <v>79000</v>
      </c>
      <c r="E431" s="1">
        <f t="shared" si="6"/>
        <v>-10000</v>
      </c>
    </row>
    <row r="432" spans="1:5" x14ac:dyDescent="0.15">
      <c r="A432">
        <v>1751001731</v>
      </c>
      <c r="B432" t="s">
        <v>777</v>
      </c>
      <c r="C432" s="1">
        <v>30000</v>
      </c>
      <c r="D432" s="1">
        <f>VLOOKUP(A432,'לעדכון ראובן'!$A$5:$F$1028,6,FALSE)</f>
        <v>40000</v>
      </c>
      <c r="E432" s="1">
        <f t="shared" si="6"/>
        <v>-10000</v>
      </c>
    </row>
    <row r="433" spans="1:5" x14ac:dyDescent="0.15">
      <c r="A433">
        <v>1781002731</v>
      </c>
      <c r="B433" t="s">
        <v>810</v>
      </c>
      <c r="C433" s="1">
        <v>35000</v>
      </c>
      <c r="D433" s="1">
        <f>VLOOKUP(A433,'לעדכון ראובן'!$A$5:$F$1028,6,FALSE)</f>
        <v>45000</v>
      </c>
      <c r="E433" s="1">
        <f t="shared" si="6"/>
        <v>-10000</v>
      </c>
    </row>
    <row r="434" spans="1:5" x14ac:dyDescent="0.15">
      <c r="A434">
        <v>1823000780</v>
      </c>
      <c r="B434" t="s">
        <v>580</v>
      </c>
      <c r="C434" s="1">
        <v>4000</v>
      </c>
      <c r="D434" s="1">
        <f>VLOOKUP(A434,'לעדכון ראובן'!$A$5:$F$1028,6,FALSE)</f>
        <v>14000</v>
      </c>
      <c r="E434" s="1">
        <f t="shared" si="6"/>
        <v>-10000</v>
      </c>
    </row>
    <row r="435" spans="1:5" x14ac:dyDescent="0.15">
      <c r="A435">
        <v>1623000751</v>
      </c>
      <c r="B435" t="s">
        <v>641</v>
      </c>
      <c r="C435" s="1">
        <v>18000</v>
      </c>
      <c r="D435" s="1">
        <f>VLOOKUP(A435,'לעדכון ראובן'!$A$5:$F$1028,6,FALSE)</f>
        <v>30000</v>
      </c>
      <c r="E435" s="1">
        <f t="shared" si="6"/>
        <v>-12000</v>
      </c>
    </row>
    <row r="436" spans="1:5" x14ac:dyDescent="0.15">
      <c r="A436">
        <v>1765100810</v>
      </c>
      <c r="B436" t="s">
        <v>796</v>
      </c>
      <c r="C436" s="1">
        <v>120000</v>
      </c>
      <c r="D436" s="1">
        <f>VLOOKUP(A436,'לעדכון ראובן'!$A$5:$F$1028,6,FALSE)</f>
        <v>136000</v>
      </c>
      <c r="E436" s="1">
        <f t="shared" si="6"/>
        <v>-16000</v>
      </c>
    </row>
    <row r="437" spans="1:5" x14ac:dyDescent="0.15">
      <c r="A437">
        <v>1781100570</v>
      </c>
      <c r="B437" t="s">
        <v>814</v>
      </c>
      <c r="C437" s="1">
        <v>25000</v>
      </c>
      <c r="D437" s="1">
        <f>VLOOKUP(A437,'לעדכון ראובן'!$A$5:$F$1028,6,FALSE)</f>
        <v>41200</v>
      </c>
      <c r="E437" s="1">
        <f t="shared" si="6"/>
        <v>-16200</v>
      </c>
    </row>
    <row r="438" spans="1:5" x14ac:dyDescent="0.15">
      <c r="A438">
        <v>1711000731</v>
      </c>
      <c r="B438" t="s">
        <v>649</v>
      </c>
      <c r="C438" s="1">
        <v>21000</v>
      </c>
      <c r="D438" s="1">
        <f>VLOOKUP(A438,'לעדכון ראובן'!$A$5:$F$1028,6,FALSE)</f>
        <v>45000</v>
      </c>
      <c r="E438" s="1">
        <f t="shared" si="6"/>
        <v>-24000</v>
      </c>
    </row>
    <row r="439" spans="1:5" x14ac:dyDescent="0.15">
      <c r="A439">
        <v>1811000910</v>
      </c>
      <c r="B439" t="s">
        <v>827</v>
      </c>
      <c r="C439" s="1">
        <v>1185</v>
      </c>
      <c r="D439" s="1">
        <f>VLOOKUP(A439,'לעדכון ראובן'!$A$5:$F$1028,6,FALSE)</f>
        <v>28754</v>
      </c>
      <c r="E439" s="1">
        <f t="shared" si="6"/>
        <v>-27569</v>
      </c>
    </row>
    <row r="440" spans="1:5" x14ac:dyDescent="0.15">
      <c r="A440">
        <v>1766000810</v>
      </c>
      <c r="B440" t="s">
        <v>797</v>
      </c>
      <c r="C440" s="1">
        <v>540000</v>
      </c>
      <c r="D440" s="1">
        <f>VLOOKUP(A440,'לעדכון ראובן'!$A$5:$F$1028,6,FALSE)</f>
        <v>580000</v>
      </c>
      <c r="E440" s="1">
        <f t="shared" si="6"/>
        <v>-40000</v>
      </c>
    </row>
    <row r="441" spans="1:5" x14ac:dyDescent="0.15">
      <c r="A441">
        <v>1938000540</v>
      </c>
      <c r="B441" t="s">
        <v>875</v>
      </c>
      <c r="C441" s="1">
        <v>780000</v>
      </c>
      <c r="D441" s="1">
        <f>VLOOKUP(A441,'לעדכון ראובן'!$A$5:$F$1028,6,FALSE)</f>
        <v>840000</v>
      </c>
      <c r="E441" s="1">
        <f t="shared" si="6"/>
        <v>-60000</v>
      </c>
    </row>
    <row r="442" spans="1:5" x14ac:dyDescent="0.15">
      <c r="A442">
        <v>1938000570</v>
      </c>
      <c r="B442" t="s">
        <v>896</v>
      </c>
      <c r="C442" s="1">
        <v>123456</v>
      </c>
      <c r="D442" s="1">
        <f>VLOOKUP(A442,'לעדכון ראובן'!$A$5:$F$1028,6,FALSE)</f>
        <v>186284</v>
      </c>
      <c r="E442" s="1">
        <f t="shared" si="6"/>
        <v>-62828</v>
      </c>
    </row>
    <row r="443" spans="1:5" x14ac:dyDescent="0.15">
      <c r="A443">
        <v>1937000750</v>
      </c>
      <c r="B443" t="s">
        <v>892</v>
      </c>
      <c r="C443" s="1">
        <v>264000</v>
      </c>
      <c r="D443" s="1">
        <f>VLOOKUP(A443,'לעדכון ראובן'!$A$5:$F$1028,6,FALSE)</f>
        <v>350000</v>
      </c>
      <c r="E443" s="1">
        <f t="shared" si="6"/>
        <v>-86000</v>
      </c>
    </row>
    <row r="444" spans="1:5" x14ac:dyDescent="0.15">
      <c r="A444">
        <v>1714200580</v>
      </c>
      <c r="B444" t="s">
        <v>688</v>
      </c>
      <c r="C444" s="1">
        <v>100000</v>
      </c>
      <c r="D444" s="1">
        <f>VLOOKUP(A444,'לעדכון ראובן'!$A$5:$F$1028,6,FALSE)</f>
        <v>200000</v>
      </c>
      <c r="E444" s="1">
        <f t="shared" si="6"/>
        <v>-100000</v>
      </c>
    </row>
    <row r="445" spans="1:5" x14ac:dyDescent="0.15">
      <c r="A445">
        <v>1712500751</v>
      </c>
      <c r="B445" t="s">
        <v>683</v>
      </c>
      <c r="C445" s="1">
        <v>450000</v>
      </c>
      <c r="D445" s="1">
        <f>VLOOKUP(A445,'לעדכון ראובן'!$A$5:$F$1028,6,FALSE)</f>
        <v>630000</v>
      </c>
      <c r="E445" s="1">
        <f t="shared" si="6"/>
        <v>-180000</v>
      </c>
    </row>
  </sheetData>
  <autoFilter ref="A2:E2" xr:uid="{00000000-0009-0000-0000-000001000000}">
    <sortState xmlns:xlrd2="http://schemas.microsoft.com/office/spreadsheetml/2017/richdata2" ref="A3:E445">
      <sortCondition descending="1" ref="E2"/>
    </sortState>
  </autoFilter>
  <phoneticPr fontId="48" type="noConversion"/>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471"/>
  <sheetViews>
    <sheetView rightToLeft="1" zoomScale="130" zoomScaleNormal="130" workbookViewId="0">
      <selection activeCell="D3" sqref="D3"/>
    </sheetView>
  </sheetViews>
  <sheetFormatPr baseColWidth="10" defaultColWidth="8.83203125" defaultRowHeight="13" x14ac:dyDescent="0.15"/>
  <cols>
    <col min="1" max="1" width="13.33203125" bestFit="1" customWidth="1"/>
    <col min="2" max="2" width="43.6640625" bestFit="1" customWidth="1"/>
    <col min="3" max="4" width="11" bestFit="1" customWidth="1"/>
  </cols>
  <sheetData>
    <row r="2" spans="1:4" x14ac:dyDescent="0.15">
      <c r="A2" t="s">
        <v>2181</v>
      </c>
      <c r="C2" t="s">
        <v>2182</v>
      </c>
    </row>
    <row r="3" spans="1:4" ht="14" x14ac:dyDescent="0.15">
      <c r="A3" s="322">
        <v>1111100100</v>
      </c>
      <c r="B3" s="322" t="s">
        <v>273</v>
      </c>
      <c r="C3" s="182">
        <v>1111100100</v>
      </c>
      <c r="D3">
        <f>VLOOKUP(A3,$C$3:$C$1296,1,FALSE)</f>
        <v>1111100100</v>
      </c>
    </row>
    <row r="4" spans="1:4" ht="14" x14ac:dyDescent="0.15">
      <c r="A4" s="322">
        <v>1111200100</v>
      </c>
      <c r="B4" s="322" t="s">
        <v>274</v>
      </c>
      <c r="C4" s="182">
        <v>1111200100</v>
      </c>
      <c r="D4">
        <f t="shared" ref="D4:D67" si="0">VLOOKUP(A4,$C$3:$C$1296,1,FALSE)</f>
        <v>1111200100</v>
      </c>
    </row>
    <row r="5" spans="1:4" ht="14" x14ac:dyDescent="0.15">
      <c r="A5" s="322">
        <v>1111200216</v>
      </c>
      <c r="B5" s="322" t="s">
        <v>1369</v>
      </c>
      <c r="C5" s="163">
        <v>1111200216</v>
      </c>
      <c r="D5">
        <f t="shared" si="0"/>
        <v>1111200216</v>
      </c>
    </row>
    <row r="6" spans="1:4" ht="14" x14ac:dyDescent="0.15">
      <c r="A6" s="322">
        <v>1111300291</v>
      </c>
      <c r="B6" s="322" t="s">
        <v>275</v>
      </c>
      <c r="C6" s="182">
        <v>1111300291</v>
      </c>
      <c r="D6">
        <f t="shared" si="0"/>
        <v>1111300291</v>
      </c>
    </row>
    <row r="7" spans="1:4" ht="14" x14ac:dyDescent="0.15">
      <c r="A7" s="322">
        <v>1111400100</v>
      </c>
      <c r="B7" s="322" t="s">
        <v>276</v>
      </c>
      <c r="C7" s="182">
        <v>1111400100</v>
      </c>
      <c r="D7">
        <f t="shared" si="0"/>
        <v>1111400100</v>
      </c>
    </row>
    <row r="8" spans="1:4" ht="14" x14ac:dyDescent="0.15">
      <c r="A8" s="322">
        <v>1113000290</v>
      </c>
      <c r="B8" s="322" t="s">
        <v>505</v>
      </c>
      <c r="C8" s="182"/>
      <c r="D8">
        <f t="shared" si="0"/>
        <v>1113000290</v>
      </c>
    </row>
    <row r="9" spans="1:4" ht="14" x14ac:dyDescent="0.15">
      <c r="A9" s="322">
        <v>1121000220</v>
      </c>
      <c r="B9" s="322" t="s">
        <v>1542</v>
      </c>
      <c r="C9" s="182">
        <v>1113000290</v>
      </c>
      <c r="D9">
        <f t="shared" si="0"/>
        <v>1121000220</v>
      </c>
    </row>
    <row r="10" spans="1:4" ht="14" x14ac:dyDescent="0.15">
      <c r="A10" s="322">
        <v>1122000220</v>
      </c>
      <c r="B10" s="322" t="s">
        <v>308</v>
      </c>
      <c r="C10" s="182"/>
      <c r="D10">
        <f t="shared" si="0"/>
        <v>1122000220</v>
      </c>
    </row>
    <row r="11" spans="1:4" ht="14" x14ac:dyDescent="0.15">
      <c r="A11" s="322">
        <v>1122000221</v>
      </c>
      <c r="B11" s="322" t="s">
        <v>1370</v>
      </c>
      <c r="C11">
        <v>1121000220</v>
      </c>
      <c r="D11">
        <f t="shared" si="0"/>
        <v>1122000221</v>
      </c>
    </row>
    <row r="12" spans="1:4" ht="14" x14ac:dyDescent="0.15">
      <c r="A12" s="324">
        <v>1123000220</v>
      </c>
      <c r="B12" s="322" t="s">
        <v>1171</v>
      </c>
      <c r="C12">
        <v>1122000220</v>
      </c>
      <c r="D12" t="e">
        <f>VLOOKUP(A12,$C$3:$C$1296,1,FALSE)</f>
        <v>#N/A</v>
      </c>
    </row>
    <row r="13" spans="1:4" ht="14" x14ac:dyDescent="0.15">
      <c r="A13" s="322">
        <v>1124100220</v>
      </c>
      <c r="B13" s="322" t="s">
        <v>309</v>
      </c>
      <c r="C13">
        <v>1122000221</v>
      </c>
      <c r="D13">
        <f t="shared" si="0"/>
        <v>1124100220</v>
      </c>
    </row>
    <row r="14" spans="1:4" ht="14" x14ac:dyDescent="0.15">
      <c r="A14" s="322">
        <v>1129100220</v>
      </c>
      <c r="B14" s="322" t="s">
        <v>310</v>
      </c>
      <c r="C14">
        <v>1124100220</v>
      </c>
      <c r="D14">
        <f t="shared" si="0"/>
        <v>1129100220</v>
      </c>
    </row>
    <row r="15" spans="1:4" ht="14" x14ac:dyDescent="0.15">
      <c r="A15" s="322">
        <v>1129100221</v>
      </c>
      <c r="B15" s="322" t="s">
        <v>311</v>
      </c>
      <c r="C15">
        <v>1129100220</v>
      </c>
      <c r="D15">
        <f t="shared" si="0"/>
        <v>1129100221</v>
      </c>
    </row>
    <row r="16" spans="1:4" ht="14" x14ac:dyDescent="0.15">
      <c r="A16" s="322">
        <v>1160000662</v>
      </c>
      <c r="B16" s="322" t="s">
        <v>312</v>
      </c>
      <c r="C16">
        <v>1129100221</v>
      </c>
      <c r="D16">
        <f t="shared" si="0"/>
        <v>1160000662</v>
      </c>
    </row>
    <row r="17" spans="1:4" ht="14" x14ac:dyDescent="0.15">
      <c r="A17" s="322">
        <v>1191000910</v>
      </c>
      <c r="B17" s="322" t="s">
        <v>500</v>
      </c>
      <c r="C17" s="182"/>
      <c r="D17">
        <f t="shared" si="0"/>
        <v>1191000910</v>
      </c>
    </row>
    <row r="18" spans="1:4" ht="14" x14ac:dyDescent="0.15">
      <c r="A18" s="322">
        <v>1192000910</v>
      </c>
      <c r="B18" s="322" t="s">
        <v>501</v>
      </c>
      <c r="C18" s="182">
        <v>1160000662</v>
      </c>
      <c r="D18">
        <f t="shared" si="0"/>
        <v>1192000910</v>
      </c>
    </row>
    <row r="19" spans="1:4" ht="14" x14ac:dyDescent="0.15">
      <c r="A19" s="324">
        <v>1212300292</v>
      </c>
      <c r="B19" s="322" t="s">
        <v>2076</v>
      </c>
      <c r="C19" s="182"/>
      <c r="D19" t="e">
        <f t="shared" si="0"/>
        <v>#N/A</v>
      </c>
    </row>
    <row r="20" spans="1:4" ht="14" x14ac:dyDescent="0.15">
      <c r="A20" s="322">
        <v>1212300690</v>
      </c>
      <c r="B20" s="322" t="s">
        <v>313</v>
      </c>
      <c r="C20" s="182">
        <v>1191000910</v>
      </c>
      <c r="D20">
        <f t="shared" si="0"/>
        <v>1212300690</v>
      </c>
    </row>
    <row r="21" spans="1:4" ht="14" x14ac:dyDescent="0.15">
      <c r="A21" s="322">
        <v>1212400220</v>
      </c>
      <c r="B21" s="322" t="s">
        <v>314</v>
      </c>
      <c r="C21" s="182">
        <v>1192000910</v>
      </c>
      <c r="D21">
        <f t="shared" si="0"/>
        <v>1212400220</v>
      </c>
    </row>
    <row r="22" spans="1:4" ht="14" x14ac:dyDescent="0.15">
      <c r="A22" s="322">
        <v>1212400221</v>
      </c>
      <c r="B22" s="322" t="s">
        <v>315</v>
      </c>
      <c r="C22" s="182"/>
      <c r="D22">
        <f t="shared" si="0"/>
        <v>1212400221</v>
      </c>
    </row>
    <row r="23" spans="1:4" ht="14" x14ac:dyDescent="0.15">
      <c r="A23" s="322">
        <v>1213000220</v>
      </c>
      <c r="B23" s="322" t="s">
        <v>316</v>
      </c>
      <c r="C23" s="182"/>
      <c r="D23">
        <f t="shared" si="0"/>
        <v>1213000220</v>
      </c>
    </row>
    <row r="24" spans="1:4" ht="14" x14ac:dyDescent="0.15">
      <c r="A24" s="322">
        <v>1213000221</v>
      </c>
      <c r="B24" s="322" t="s">
        <v>1376</v>
      </c>
      <c r="C24">
        <v>1212300690</v>
      </c>
      <c r="D24">
        <f t="shared" si="0"/>
        <v>1213000221</v>
      </c>
    </row>
    <row r="25" spans="1:4" ht="14" x14ac:dyDescent="0.15">
      <c r="A25" s="322">
        <v>1214200221</v>
      </c>
      <c r="B25" s="322" t="s">
        <v>317</v>
      </c>
      <c r="C25">
        <v>1212400220</v>
      </c>
      <c r="D25">
        <f t="shared" si="0"/>
        <v>1214200221</v>
      </c>
    </row>
    <row r="26" spans="1:4" ht="14" x14ac:dyDescent="0.15">
      <c r="A26" s="322">
        <v>1214200960</v>
      </c>
      <c r="B26" s="322" t="s">
        <v>491</v>
      </c>
      <c r="C26">
        <v>1212400221</v>
      </c>
      <c r="D26">
        <f t="shared" si="0"/>
        <v>1214200960</v>
      </c>
    </row>
    <row r="27" spans="1:4" ht="14" x14ac:dyDescent="0.15">
      <c r="A27" s="322">
        <v>1214201220</v>
      </c>
      <c r="B27" s="322" t="s">
        <v>1378</v>
      </c>
      <c r="C27">
        <v>1213000220</v>
      </c>
      <c r="D27">
        <f t="shared" si="0"/>
        <v>1214201220</v>
      </c>
    </row>
    <row r="28" spans="1:4" ht="14" x14ac:dyDescent="0.15">
      <c r="A28" s="322">
        <v>1214300220</v>
      </c>
      <c r="B28" s="322" t="s">
        <v>318</v>
      </c>
      <c r="C28">
        <v>1213000221</v>
      </c>
      <c r="D28">
        <f t="shared" si="0"/>
        <v>1214300220</v>
      </c>
    </row>
    <row r="29" spans="1:4" ht="14" x14ac:dyDescent="0.15">
      <c r="A29" s="322">
        <v>1214301220</v>
      </c>
      <c r="B29" s="322" t="s">
        <v>319</v>
      </c>
      <c r="C29">
        <v>1214200221</v>
      </c>
      <c r="D29">
        <f t="shared" si="0"/>
        <v>1214301220</v>
      </c>
    </row>
    <row r="30" spans="1:4" ht="14" x14ac:dyDescent="0.15">
      <c r="A30" s="322">
        <v>1222000440</v>
      </c>
      <c r="B30" s="322" t="s">
        <v>320</v>
      </c>
      <c r="C30">
        <v>1214200960</v>
      </c>
      <c r="D30">
        <f t="shared" si="0"/>
        <v>1222000440</v>
      </c>
    </row>
    <row r="31" spans="1:4" ht="14" x14ac:dyDescent="0.15">
      <c r="A31" s="322">
        <v>1222000441</v>
      </c>
      <c r="B31" s="322" t="s">
        <v>1586</v>
      </c>
      <c r="C31">
        <v>1214201220</v>
      </c>
      <c r="D31">
        <f t="shared" si="0"/>
        <v>1222000441</v>
      </c>
    </row>
    <row r="32" spans="1:4" ht="14" x14ac:dyDescent="0.15">
      <c r="A32" s="322">
        <v>1222000970</v>
      </c>
      <c r="B32" s="322" t="s">
        <v>1929</v>
      </c>
      <c r="C32">
        <v>1214300220</v>
      </c>
      <c r="D32">
        <f t="shared" si="0"/>
        <v>1222000970</v>
      </c>
    </row>
    <row r="33" spans="1:4" ht="14" x14ac:dyDescent="0.15">
      <c r="A33" s="322">
        <v>1222000971</v>
      </c>
      <c r="B33" s="322" t="s">
        <v>2077</v>
      </c>
      <c r="C33">
        <v>1214301220</v>
      </c>
      <c r="D33">
        <f t="shared" si="0"/>
        <v>1222000971</v>
      </c>
    </row>
    <row r="34" spans="1:4" ht="14" x14ac:dyDescent="0.15">
      <c r="A34" s="322">
        <v>1222100400</v>
      </c>
      <c r="B34" s="322" t="s">
        <v>321</v>
      </c>
      <c r="C34" s="182"/>
      <c r="D34">
        <f t="shared" si="0"/>
        <v>1222100400</v>
      </c>
    </row>
    <row r="35" spans="1:4" ht="14" x14ac:dyDescent="0.15">
      <c r="A35" s="322">
        <v>1222100440</v>
      </c>
      <c r="B35" s="322" t="s">
        <v>322</v>
      </c>
      <c r="C35" s="182"/>
      <c r="D35">
        <f t="shared" si="0"/>
        <v>1222100440</v>
      </c>
    </row>
    <row r="36" spans="1:4" ht="14" x14ac:dyDescent="0.15">
      <c r="A36" s="322">
        <v>1222100910</v>
      </c>
      <c r="B36" s="322" t="s">
        <v>492</v>
      </c>
      <c r="C36">
        <v>1222000440</v>
      </c>
      <c r="D36">
        <f t="shared" si="0"/>
        <v>1222100910</v>
      </c>
    </row>
    <row r="37" spans="1:4" ht="14" x14ac:dyDescent="0.15">
      <c r="A37" s="322">
        <v>1233000690</v>
      </c>
      <c r="B37" s="322" t="s">
        <v>323</v>
      </c>
      <c r="C37">
        <v>1222000441</v>
      </c>
      <c r="D37">
        <f t="shared" si="0"/>
        <v>1233000690</v>
      </c>
    </row>
    <row r="38" spans="1:4" ht="14" x14ac:dyDescent="0.15">
      <c r="A38" s="322">
        <v>1233100220</v>
      </c>
      <c r="B38" s="322" t="s">
        <v>324</v>
      </c>
      <c r="C38">
        <v>1222000970</v>
      </c>
      <c r="D38">
        <f t="shared" si="0"/>
        <v>1233100220</v>
      </c>
    </row>
    <row r="39" spans="1:4" ht="14" x14ac:dyDescent="0.15">
      <c r="A39" s="324">
        <v>1233200220</v>
      </c>
      <c r="B39" s="322" t="s">
        <v>1368</v>
      </c>
      <c r="C39">
        <v>1222000971</v>
      </c>
      <c r="D39" t="e">
        <f t="shared" si="0"/>
        <v>#N/A</v>
      </c>
    </row>
    <row r="40" spans="1:4" ht="14" x14ac:dyDescent="0.15">
      <c r="A40" s="322">
        <v>1233200290</v>
      </c>
      <c r="B40" s="322" t="s">
        <v>325</v>
      </c>
      <c r="C40">
        <v>1222100400</v>
      </c>
      <c r="D40">
        <f t="shared" si="0"/>
        <v>1233200290</v>
      </c>
    </row>
    <row r="41" spans="1:4" ht="14" x14ac:dyDescent="0.15">
      <c r="A41" s="322">
        <v>1233200291</v>
      </c>
      <c r="B41" s="322" t="s">
        <v>1587</v>
      </c>
      <c r="C41">
        <v>1222100440</v>
      </c>
      <c r="D41">
        <f t="shared" si="0"/>
        <v>1233200291</v>
      </c>
    </row>
    <row r="42" spans="1:4" ht="14" x14ac:dyDescent="0.15">
      <c r="A42" s="322">
        <v>1233200292</v>
      </c>
      <c r="B42" s="322" t="s">
        <v>1660</v>
      </c>
      <c r="C42">
        <v>1222100910</v>
      </c>
      <c r="D42">
        <f t="shared" si="0"/>
        <v>1233200292</v>
      </c>
    </row>
    <row r="43" spans="1:4" ht="15" x14ac:dyDescent="0.2">
      <c r="A43" s="322">
        <v>1233200293</v>
      </c>
      <c r="B43" s="322" t="s">
        <v>1738</v>
      </c>
      <c r="C43" s="210"/>
      <c r="D43">
        <f t="shared" si="0"/>
        <v>1233200293</v>
      </c>
    </row>
    <row r="44" spans="1:4" ht="14" x14ac:dyDescent="0.15">
      <c r="A44" s="322">
        <v>1233200294</v>
      </c>
      <c r="B44" s="322" t="s">
        <v>2066</v>
      </c>
      <c r="C44" s="182"/>
      <c r="D44">
        <f t="shared" si="0"/>
        <v>1233200294</v>
      </c>
    </row>
    <row r="45" spans="1:4" ht="14" x14ac:dyDescent="0.15">
      <c r="A45" s="322">
        <v>1233300290</v>
      </c>
      <c r="B45" s="322" t="s">
        <v>326</v>
      </c>
      <c r="C45">
        <v>1233000690</v>
      </c>
      <c r="D45">
        <f t="shared" si="0"/>
        <v>1233300290</v>
      </c>
    </row>
    <row r="46" spans="1:4" ht="14" x14ac:dyDescent="0.15">
      <c r="A46" s="322">
        <v>1242000215</v>
      </c>
      <c r="B46" s="322" t="s">
        <v>327</v>
      </c>
      <c r="C46">
        <v>1233100220</v>
      </c>
      <c r="D46" t="e">
        <f t="shared" si="0"/>
        <v>#N/A</v>
      </c>
    </row>
    <row r="47" spans="1:4" ht="14" x14ac:dyDescent="0.15">
      <c r="A47" s="322">
        <v>1242000220</v>
      </c>
      <c r="B47" s="322" t="s">
        <v>328</v>
      </c>
      <c r="C47">
        <v>1233200290</v>
      </c>
      <c r="D47">
        <f t="shared" si="0"/>
        <v>1242000220</v>
      </c>
    </row>
    <row r="48" spans="1:4" ht="14" x14ac:dyDescent="0.15">
      <c r="A48" s="322">
        <v>1242000221</v>
      </c>
      <c r="B48" s="322" t="s">
        <v>1383</v>
      </c>
      <c r="C48">
        <v>1233200291</v>
      </c>
      <c r="D48" t="e">
        <f t="shared" si="0"/>
        <v>#N/A</v>
      </c>
    </row>
    <row r="49" spans="1:4" ht="14" x14ac:dyDescent="0.15">
      <c r="A49" s="322">
        <v>1242000690</v>
      </c>
      <c r="B49" s="322" t="s">
        <v>329</v>
      </c>
      <c r="C49">
        <v>1233200292</v>
      </c>
      <c r="D49" t="e">
        <f t="shared" si="0"/>
        <v>#N/A</v>
      </c>
    </row>
    <row r="50" spans="1:4" ht="14" x14ac:dyDescent="0.15">
      <c r="A50" s="324">
        <v>1252000490</v>
      </c>
      <c r="B50" s="322" t="s">
        <v>2078</v>
      </c>
      <c r="C50">
        <v>1233200293</v>
      </c>
      <c r="D50" t="e">
        <f t="shared" si="0"/>
        <v>#N/A</v>
      </c>
    </row>
    <row r="51" spans="1:4" ht="14" x14ac:dyDescent="0.15">
      <c r="A51" s="324">
        <v>1252000990</v>
      </c>
      <c r="B51" s="322" t="s">
        <v>2079</v>
      </c>
      <c r="C51">
        <v>1233200294</v>
      </c>
      <c r="D51" t="e">
        <f t="shared" si="0"/>
        <v>#N/A</v>
      </c>
    </row>
    <row r="52" spans="1:4" ht="14" x14ac:dyDescent="0.15">
      <c r="A52" s="322">
        <v>1261000421</v>
      </c>
      <c r="B52" s="322" t="s">
        <v>330</v>
      </c>
      <c r="C52">
        <v>1233300290</v>
      </c>
      <c r="D52">
        <f t="shared" si="0"/>
        <v>1261000421</v>
      </c>
    </row>
    <row r="53" spans="1:4" ht="14" x14ac:dyDescent="0.15">
      <c r="A53" s="322">
        <v>1269000662</v>
      </c>
      <c r="B53" s="322" t="s">
        <v>331</v>
      </c>
      <c r="C53" s="182"/>
      <c r="D53">
        <f t="shared" si="0"/>
        <v>1269000662</v>
      </c>
    </row>
    <row r="54" spans="1:4" ht="14" x14ac:dyDescent="0.15">
      <c r="A54" s="322">
        <v>1269000690</v>
      </c>
      <c r="B54" s="322" t="s">
        <v>1588</v>
      </c>
      <c r="C54">
        <v>1242000220</v>
      </c>
      <c r="D54">
        <f t="shared" si="0"/>
        <v>1269000690</v>
      </c>
    </row>
    <row r="55" spans="1:4" ht="14" x14ac:dyDescent="0.15">
      <c r="A55" s="322">
        <v>1269000790</v>
      </c>
      <c r="B55" s="322" t="s">
        <v>331</v>
      </c>
      <c r="C55" s="182"/>
      <c r="D55">
        <f t="shared" si="0"/>
        <v>1269000790</v>
      </c>
    </row>
    <row r="56" spans="1:4" ht="14" x14ac:dyDescent="0.15">
      <c r="A56" s="322">
        <v>1269000791</v>
      </c>
      <c r="B56" s="322" t="s">
        <v>1699</v>
      </c>
      <c r="C56">
        <v>1261000421</v>
      </c>
      <c r="D56">
        <f t="shared" si="0"/>
        <v>1269000791</v>
      </c>
    </row>
    <row r="57" spans="1:4" ht="14" x14ac:dyDescent="0.15">
      <c r="A57" s="322">
        <v>1269000792</v>
      </c>
      <c r="B57" s="322" t="s">
        <v>2080</v>
      </c>
      <c r="C57">
        <v>1269000662</v>
      </c>
      <c r="D57">
        <f t="shared" si="0"/>
        <v>1269000792</v>
      </c>
    </row>
    <row r="58" spans="1:4" ht="14" x14ac:dyDescent="0.15">
      <c r="A58" s="322">
        <v>1281000215</v>
      </c>
      <c r="B58" s="322" t="s">
        <v>332</v>
      </c>
      <c r="C58">
        <v>1269000690</v>
      </c>
      <c r="D58">
        <f t="shared" si="0"/>
        <v>1281000215</v>
      </c>
    </row>
    <row r="59" spans="1:4" ht="14" x14ac:dyDescent="0.15">
      <c r="A59" s="324">
        <v>1281000222</v>
      </c>
      <c r="B59" s="322" t="s">
        <v>1540</v>
      </c>
      <c r="C59">
        <v>1269000790</v>
      </c>
      <c r="D59" t="e">
        <f t="shared" si="0"/>
        <v>#N/A</v>
      </c>
    </row>
    <row r="60" spans="1:4" ht="14" x14ac:dyDescent="0.15">
      <c r="A60" s="322">
        <v>1281000231</v>
      </c>
      <c r="B60" s="322" t="s">
        <v>54</v>
      </c>
      <c r="C60">
        <v>1269000791</v>
      </c>
      <c r="D60" t="e">
        <f t="shared" si="0"/>
        <v>#N/A</v>
      </c>
    </row>
    <row r="61" spans="1:4" ht="14" x14ac:dyDescent="0.15">
      <c r="A61" s="322">
        <v>1281000990</v>
      </c>
      <c r="B61" s="322" t="s">
        <v>55</v>
      </c>
      <c r="C61">
        <v>1269000792</v>
      </c>
      <c r="D61" t="e">
        <f t="shared" si="0"/>
        <v>#N/A</v>
      </c>
    </row>
    <row r="62" spans="1:4" ht="14" x14ac:dyDescent="0.15">
      <c r="A62" s="322">
        <v>1282000490</v>
      </c>
      <c r="B62" s="322" t="s">
        <v>333</v>
      </c>
      <c r="C62" s="182"/>
      <c r="D62">
        <f t="shared" si="0"/>
        <v>1282000490</v>
      </c>
    </row>
    <row r="63" spans="1:4" ht="14" x14ac:dyDescent="0.15">
      <c r="A63" s="322">
        <v>1311000690</v>
      </c>
      <c r="B63" s="322" t="s">
        <v>1184</v>
      </c>
      <c r="C63">
        <v>1281000215</v>
      </c>
      <c r="D63" t="e">
        <f t="shared" si="0"/>
        <v>#N/A</v>
      </c>
    </row>
    <row r="64" spans="1:4" ht="14" x14ac:dyDescent="0.15">
      <c r="A64" s="322">
        <v>1312200420</v>
      </c>
      <c r="B64" s="322" t="s">
        <v>2049</v>
      </c>
      <c r="C64">
        <v>1282000490</v>
      </c>
      <c r="D64">
        <f t="shared" si="0"/>
        <v>1312200420</v>
      </c>
    </row>
    <row r="65" spans="1:4" ht="14" x14ac:dyDescent="0.15">
      <c r="A65" s="322">
        <v>1312200440</v>
      </c>
      <c r="B65" s="322" t="s">
        <v>284</v>
      </c>
      <c r="C65" s="182"/>
      <c r="D65">
        <f t="shared" si="0"/>
        <v>1312200440</v>
      </c>
    </row>
    <row r="66" spans="1:4" ht="14" x14ac:dyDescent="0.15">
      <c r="A66" s="322">
        <v>1312200790</v>
      </c>
      <c r="B66" s="322" t="s">
        <v>1387</v>
      </c>
      <c r="C66" s="182"/>
      <c r="D66">
        <f t="shared" si="0"/>
        <v>1312200790</v>
      </c>
    </row>
    <row r="67" spans="1:4" ht="14" x14ac:dyDescent="0.15">
      <c r="A67" s="324">
        <v>1312200920</v>
      </c>
      <c r="B67" s="322" t="s">
        <v>1388</v>
      </c>
      <c r="C67">
        <v>1312200420</v>
      </c>
      <c r="D67" t="e">
        <f t="shared" si="0"/>
        <v>#N/A</v>
      </c>
    </row>
    <row r="68" spans="1:4" ht="14" x14ac:dyDescent="0.15">
      <c r="A68" s="322">
        <v>1312201420</v>
      </c>
      <c r="B68" s="322" t="s">
        <v>2081</v>
      </c>
      <c r="C68">
        <v>1312200440</v>
      </c>
      <c r="D68">
        <f t="shared" ref="D68:D131" si="1">VLOOKUP(A68,$C$3:$C$1296,1,FALSE)</f>
        <v>1312201420</v>
      </c>
    </row>
    <row r="69" spans="1:4" ht="14" x14ac:dyDescent="0.15">
      <c r="A69" s="324">
        <v>1312210420</v>
      </c>
      <c r="B69" s="322" t="s">
        <v>2056</v>
      </c>
      <c r="C69">
        <v>1312200790</v>
      </c>
      <c r="D69" t="e">
        <f t="shared" si="1"/>
        <v>#N/A</v>
      </c>
    </row>
    <row r="70" spans="1:4" ht="14" x14ac:dyDescent="0.15">
      <c r="A70" s="322">
        <v>1312210920</v>
      </c>
      <c r="B70" s="322" t="s">
        <v>362</v>
      </c>
      <c r="C70">
        <v>1312201420</v>
      </c>
      <c r="D70">
        <f t="shared" si="1"/>
        <v>1312210920</v>
      </c>
    </row>
    <row r="71" spans="1:4" ht="14" x14ac:dyDescent="0.15">
      <c r="A71" s="322">
        <v>1312220920</v>
      </c>
      <c r="B71" s="322" t="s">
        <v>363</v>
      </c>
      <c r="C71">
        <v>1312210920</v>
      </c>
      <c r="D71">
        <f t="shared" si="1"/>
        <v>1312220920</v>
      </c>
    </row>
    <row r="72" spans="1:4" ht="14" x14ac:dyDescent="0.15">
      <c r="A72" s="322">
        <v>1312230920</v>
      </c>
      <c r="B72" s="322" t="s">
        <v>364</v>
      </c>
      <c r="C72">
        <v>1312220920</v>
      </c>
      <c r="D72">
        <f t="shared" si="1"/>
        <v>1312230920</v>
      </c>
    </row>
    <row r="73" spans="1:4" ht="14" x14ac:dyDescent="0.15">
      <c r="A73" s="322">
        <v>1312500440</v>
      </c>
      <c r="B73" s="322" t="s">
        <v>286</v>
      </c>
      <c r="C73">
        <v>1312230920</v>
      </c>
      <c r="D73">
        <f t="shared" si="1"/>
        <v>1312500440</v>
      </c>
    </row>
    <row r="74" spans="1:4" ht="14" x14ac:dyDescent="0.15">
      <c r="A74" s="322">
        <v>1312501440</v>
      </c>
      <c r="B74" s="322" t="s">
        <v>287</v>
      </c>
      <c r="C74">
        <v>1312500440</v>
      </c>
      <c r="D74">
        <f t="shared" si="1"/>
        <v>1312501440</v>
      </c>
    </row>
    <row r="75" spans="1:4" ht="14" x14ac:dyDescent="0.15">
      <c r="A75" s="322">
        <v>1312501920</v>
      </c>
      <c r="B75" s="322" t="s">
        <v>365</v>
      </c>
      <c r="C75">
        <v>1312501440</v>
      </c>
      <c r="D75">
        <f t="shared" si="1"/>
        <v>1312501920</v>
      </c>
    </row>
    <row r="76" spans="1:4" ht="14" x14ac:dyDescent="0.15">
      <c r="A76" s="322">
        <v>1313200410</v>
      </c>
      <c r="B76" s="322" t="s">
        <v>1390</v>
      </c>
      <c r="C76">
        <v>1312501920</v>
      </c>
      <c r="D76">
        <f t="shared" si="1"/>
        <v>1313200410</v>
      </c>
    </row>
    <row r="77" spans="1:4" ht="14" x14ac:dyDescent="0.15">
      <c r="A77" s="324">
        <v>1313200440</v>
      </c>
      <c r="B77" s="322" t="s">
        <v>1391</v>
      </c>
      <c r="C77">
        <v>1313200410</v>
      </c>
      <c r="D77" t="e">
        <f t="shared" si="1"/>
        <v>#N/A</v>
      </c>
    </row>
    <row r="78" spans="1:4" ht="14" x14ac:dyDescent="0.15">
      <c r="A78" s="322">
        <v>1313200920</v>
      </c>
      <c r="B78" s="322" t="s">
        <v>56</v>
      </c>
      <c r="C78">
        <v>1313200920</v>
      </c>
      <c r="D78">
        <f t="shared" si="1"/>
        <v>1313200920</v>
      </c>
    </row>
    <row r="79" spans="1:4" ht="14" x14ac:dyDescent="0.15">
      <c r="A79" s="322">
        <v>1313200923</v>
      </c>
      <c r="B79" s="322" t="s">
        <v>2048</v>
      </c>
      <c r="C79">
        <v>1313200923</v>
      </c>
      <c r="D79">
        <f t="shared" si="1"/>
        <v>1313200923</v>
      </c>
    </row>
    <row r="80" spans="1:4" ht="14" x14ac:dyDescent="0.15">
      <c r="A80" s="322">
        <v>1313201920</v>
      </c>
      <c r="B80" s="322" t="s">
        <v>1704</v>
      </c>
      <c r="C80">
        <v>1313201920</v>
      </c>
      <c r="D80">
        <f t="shared" si="1"/>
        <v>1313201920</v>
      </c>
    </row>
    <row r="81" spans="1:4" ht="14" x14ac:dyDescent="0.15">
      <c r="A81" s="322">
        <v>1313201921</v>
      </c>
      <c r="B81" s="322" t="s">
        <v>1493</v>
      </c>
      <c r="C81">
        <v>1313201921</v>
      </c>
      <c r="D81">
        <f t="shared" si="1"/>
        <v>1313201921</v>
      </c>
    </row>
    <row r="82" spans="1:4" ht="14" x14ac:dyDescent="0.15">
      <c r="A82" s="322">
        <v>1313201922</v>
      </c>
      <c r="B82" s="322" t="s">
        <v>1492</v>
      </c>
      <c r="C82">
        <v>1313201922</v>
      </c>
      <c r="D82">
        <f t="shared" si="1"/>
        <v>1313201922</v>
      </c>
    </row>
    <row r="83" spans="1:4" ht="14" x14ac:dyDescent="0.15">
      <c r="A83" s="322">
        <v>1313201923</v>
      </c>
      <c r="B83" s="322" t="s">
        <v>1538</v>
      </c>
      <c r="C83">
        <v>1313201923</v>
      </c>
      <c r="D83">
        <f t="shared" si="1"/>
        <v>1313201923</v>
      </c>
    </row>
    <row r="84" spans="1:4" ht="14" x14ac:dyDescent="0.15">
      <c r="A84" s="322">
        <v>1313202920</v>
      </c>
      <c r="B84" s="322" t="s">
        <v>1156</v>
      </c>
      <c r="C84">
        <v>1313202920</v>
      </c>
      <c r="D84">
        <f t="shared" si="1"/>
        <v>1313202920</v>
      </c>
    </row>
    <row r="85" spans="1:4" ht="14" x14ac:dyDescent="0.15">
      <c r="A85" s="322">
        <v>1313204920</v>
      </c>
      <c r="B85" s="322" t="s">
        <v>367</v>
      </c>
      <c r="C85">
        <v>1313204920</v>
      </c>
      <c r="D85">
        <f t="shared" si="1"/>
        <v>1313204920</v>
      </c>
    </row>
    <row r="86" spans="1:4" ht="14" x14ac:dyDescent="0.15">
      <c r="A86" s="322">
        <v>1313205920</v>
      </c>
      <c r="B86" s="322" t="s">
        <v>368</v>
      </c>
      <c r="C86">
        <v>1313205920</v>
      </c>
      <c r="D86">
        <f t="shared" si="1"/>
        <v>1313205920</v>
      </c>
    </row>
    <row r="87" spans="1:4" ht="14" x14ac:dyDescent="0.15">
      <c r="A87" s="322">
        <v>1313213920</v>
      </c>
      <c r="B87" s="322" t="s">
        <v>369</v>
      </c>
      <c r="C87">
        <v>1313213920</v>
      </c>
      <c r="D87">
        <f t="shared" si="1"/>
        <v>1313213920</v>
      </c>
    </row>
    <row r="88" spans="1:4" ht="14" x14ac:dyDescent="0.15">
      <c r="A88" s="322">
        <v>1313221920</v>
      </c>
      <c r="B88" s="322" t="s">
        <v>370</v>
      </c>
      <c r="C88">
        <v>1313221920</v>
      </c>
      <c r="D88">
        <f t="shared" si="1"/>
        <v>1313221920</v>
      </c>
    </row>
    <row r="89" spans="1:4" ht="14" x14ac:dyDescent="0.15">
      <c r="A89" s="322">
        <v>1313222920</v>
      </c>
      <c r="B89" s="322" t="s">
        <v>371</v>
      </c>
      <c r="C89">
        <v>1313222920</v>
      </c>
      <c r="D89">
        <f t="shared" si="1"/>
        <v>1313222920</v>
      </c>
    </row>
    <row r="90" spans="1:4" ht="14" x14ac:dyDescent="0.15">
      <c r="A90" s="322">
        <v>1313223920</v>
      </c>
      <c r="B90" s="322" t="s">
        <v>372</v>
      </c>
      <c r="C90">
        <v>1313223920</v>
      </c>
      <c r="D90">
        <f t="shared" si="1"/>
        <v>1313223920</v>
      </c>
    </row>
    <row r="91" spans="1:4" ht="14" x14ac:dyDescent="0.15">
      <c r="A91" s="322">
        <v>1313300920</v>
      </c>
      <c r="B91" s="322" t="s">
        <v>373</v>
      </c>
      <c r="C91">
        <v>1313300920</v>
      </c>
      <c r="D91">
        <f t="shared" si="1"/>
        <v>1313300920</v>
      </c>
    </row>
    <row r="92" spans="1:4" ht="14" x14ac:dyDescent="0.15">
      <c r="A92" s="322">
        <v>1313304920</v>
      </c>
      <c r="B92" s="322" t="s">
        <v>374</v>
      </c>
      <c r="C92">
        <v>1313304920</v>
      </c>
      <c r="D92">
        <f t="shared" si="1"/>
        <v>1313304920</v>
      </c>
    </row>
    <row r="93" spans="1:4" ht="14" x14ac:dyDescent="0.15">
      <c r="A93" s="322">
        <v>1313305920</v>
      </c>
      <c r="B93" s="322" t="s">
        <v>375</v>
      </c>
      <c r="C93">
        <v>1313305920</v>
      </c>
      <c r="D93">
        <f t="shared" si="1"/>
        <v>1313305920</v>
      </c>
    </row>
    <row r="94" spans="1:4" ht="14" x14ac:dyDescent="0.15">
      <c r="A94" s="322">
        <v>1313313920</v>
      </c>
      <c r="B94" s="322" t="s">
        <v>376</v>
      </c>
      <c r="C94">
        <v>1313313920</v>
      </c>
      <c r="D94">
        <f t="shared" si="1"/>
        <v>1313313920</v>
      </c>
    </row>
    <row r="95" spans="1:4" ht="14" x14ac:dyDescent="0.15">
      <c r="A95" s="322">
        <v>1313317410</v>
      </c>
      <c r="B95" s="322" t="s">
        <v>289</v>
      </c>
      <c r="C95">
        <v>1313317410</v>
      </c>
      <c r="D95">
        <f t="shared" si="1"/>
        <v>1313317410</v>
      </c>
    </row>
    <row r="96" spans="1:4" ht="14" x14ac:dyDescent="0.15">
      <c r="A96" s="322">
        <v>1313330920</v>
      </c>
      <c r="B96" s="322" t="s">
        <v>378</v>
      </c>
      <c r="C96">
        <v>1313330920</v>
      </c>
      <c r="D96">
        <f t="shared" si="1"/>
        <v>1313330920</v>
      </c>
    </row>
    <row r="97" spans="1:4" ht="14" x14ac:dyDescent="0.15">
      <c r="A97" s="322">
        <v>1313700920</v>
      </c>
      <c r="B97" s="322" t="s">
        <v>379</v>
      </c>
      <c r="C97">
        <v>1313700920</v>
      </c>
      <c r="D97">
        <f t="shared" si="1"/>
        <v>1313700920</v>
      </c>
    </row>
    <row r="98" spans="1:4" ht="14" x14ac:dyDescent="0.15">
      <c r="A98" s="322">
        <v>1313704920</v>
      </c>
      <c r="B98" s="322" t="s">
        <v>380</v>
      </c>
      <c r="C98">
        <v>1313704920</v>
      </c>
      <c r="D98">
        <f t="shared" si="1"/>
        <v>1313704920</v>
      </c>
    </row>
    <row r="99" spans="1:4" ht="14" x14ac:dyDescent="0.15">
      <c r="A99" s="322">
        <v>1313705920</v>
      </c>
      <c r="B99" s="322" t="s">
        <v>381</v>
      </c>
      <c r="C99">
        <v>1313705920</v>
      </c>
      <c r="D99">
        <f t="shared" si="1"/>
        <v>1313705920</v>
      </c>
    </row>
    <row r="100" spans="1:4" ht="14" x14ac:dyDescent="0.15">
      <c r="A100" s="322">
        <v>1315700700</v>
      </c>
      <c r="B100" s="322" t="s">
        <v>290</v>
      </c>
      <c r="C100">
        <v>1315700700</v>
      </c>
      <c r="D100">
        <f t="shared" si="1"/>
        <v>1315700700</v>
      </c>
    </row>
    <row r="101" spans="1:4" ht="14" x14ac:dyDescent="0.15">
      <c r="A101" s="322">
        <v>1315777700</v>
      </c>
      <c r="B101" s="322" t="s">
        <v>291</v>
      </c>
      <c r="C101">
        <v>1315777700</v>
      </c>
      <c r="D101">
        <f t="shared" si="1"/>
        <v>1315777700</v>
      </c>
    </row>
    <row r="102" spans="1:4" ht="14" x14ac:dyDescent="0.15">
      <c r="A102" s="322">
        <v>1315788700</v>
      </c>
      <c r="B102" s="322" t="s">
        <v>292</v>
      </c>
      <c r="C102">
        <v>1315788700</v>
      </c>
      <c r="D102">
        <f t="shared" si="1"/>
        <v>1315788700</v>
      </c>
    </row>
    <row r="103" spans="1:4" ht="14" x14ac:dyDescent="0.15">
      <c r="A103" s="322">
        <v>1317100920</v>
      </c>
      <c r="B103" s="322" t="s">
        <v>382</v>
      </c>
      <c r="C103">
        <v>1317100920</v>
      </c>
      <c r="D103">
        <f t="shared" si="1"/>
        <v>1317100920</v>
      </c>
    </row>
    <row r="104" spans="1:4" ht="14" x14ac:dyDescent="0.15">
      <c r="A104" s="322">
        <v>1317100990</v>
      </c>
      <c r="B104" s="322" t="s">
        <v>493</v>
      </c>
      <c r="C104">
        <v>1317100990</v>
      </c>
      <c r="D104">
        <f t="shared" si="1"/>
        <v>1317100990</v>
      </c>
    </row>
    <row r="105" spans="1:4" ht="14" x14ac:dyDescent="0.15">
      <c r="A105" s="322">
        <v>1317200920</v>
      </c>
      <c r="B105" s="322" t="s">
        <v>383</v>
      </c>
      <c r="C105">
        <v>1317200920</v>
      </c>
      <c r="D105">
        <f t="shared" si="1"/>
        <v>1317200920</v>
      </c>
    </row>
    <row r="106" spans="1:4" ht="14" x14ac:dyDescent="0.15">
      <c r="A106" s="322">
        <v>1317300920</v>
      </c>
      <c r="B106" s="322" t="s">
        <v>384</v>
      </c>
      <c r="C106">
        <v>1317300920</v>
      </c>
      <c r="D106">
        <f t="shared" si="1"/>
        <v>1317300920</v>
      </c>
    </row>
    <row r="107" spans="1:4" ht="14" x14ac:dyDescent="0.15">
      <c r="A107" s="322">
        <v>1317301920</v>
      </c>
      <c r="B107" s="322" t="s">
        <v>385</v>
      </c>
      <c r="C107">
        <v>1317301920</v>
      </c>
      <c r="D107">
        <f t="shared" si="1"/>
        <v>1317301920</v>
      </c>
    </row>
    <row r="108" spans="1:4" ht="14" x14ac:dyDescent="0.15">
      <c r="A108" s="322">
        <v>1317500410</v>
      </c>
      <c r="B108" s="322" t="s">
        <v>293</v>
      </c>
      <c r="C108">
        <v>1317500410</v>
      </c>
      <c r="D108">
        <f t="shared" si="1"/>
        <v>1317500410</v>
      </c>
    </row>
    <row r="109" spans="1:4" ht="14" x14ac:dyDescent="0.15">
      <c r="A109" s="322">
        <v>1317600920</v>
      </c>
      <c r="B109" s="322" t="s">
        <v>1397</v>
      </c>
      <c r="C109">
        <v>1317600920</v>
      </c>
      <c r="D109">
        <f t="shared" si="1"/>
        <v>1317600920</v>
      </c>
    </row>
    <row r="110" spans="1:4" ht="14" x14ac:dyDescent="0.15">
      <c r="A110" s="322">
        <v>1317700920</v>
      </c>
      <c r="B110" s="322" t="s">
        <v>387</v>
      </c>
      <c r="C110">
        <v>1317700920</v>
      </c>
      <c r="D110">
        <f t="shared" si="1"/>
        <v>1317700920</v>
      </c>
    </row>
    <row r="111" spans="1:4" ht="14" x14ac:dyDescent="0.15">
      <c r="A111" s="322">
        <v>1317701920</v>
      </c>
      <c r="B111" s="322" t="s">
        <v>388</v>
      </c>
      <c r="C111">
        <v>1317701920</v>
      </c>
      <c r="D111">
        <f t="shared" si="1"/>
        <v>1317701920</v>
      </c>
    </row>
    <row r="112" spans="1:4" ht="14" x14ac:dyDescent="0.15">
      <c r="A112" s="322">
        <v>1317702920</v>
      </c>
      <c r="B112" s="322" t="s">
        <v>389</v>
      </c>
      <c r="C112">
        <v>1317702920</v>
      </c>
      <c r="D112">
        <f t="shared" si="1"/>
        <v>1317702920</v>
      </c>
    </row>
    <row r="113" spans="1:4" ht="14" x14ac:dyDescent="0.15">
      <c r="A113" s="322">
        <v>1317800440</v>
      </c>
      <c r="B113" s="322" t="s">
        <v>1364</v>
      </c>
      <c r="C113">
        <v>1317800920</v>
      </c>
      <c r="D113" t="e">
        <f t="shared" si="1"/>
        <v>#N/A</v>
      </c>
    </row>
    <row r="114" spans="1:4" ht="14" x14ac:dyDescent="0.15">
      <c r="A114" s="322">
        <v>1317800920</v>
      </c>
      <c r="B114" s="322" t="s">
        <v>390</v>
      </c>
      <c r="C114">
        <v>1317801920</v>
      </c>
      <c r="D114">
        <f t="shared" si="1"/>
        <v>1317800920</v>
      </c>
    </row>
    <row r="115" spans="1:4" ht="14" x14ac:dyDescent="0.15">
      <c r="A115" s="322">
        <v>1317801920</v>
      </c>
      <c r="B115" s="322" t="s">
        <v>391</v>
      </c>
      <c r="C115">
        <v>1317900790</v>
      </c>
      <c r="D115">
        <f t="shared" si="1"/>
        <v>1317801920</v>
      </c>
    </row>
    <row r="116" spans="1:4" ht="14" x14ac:dyDescent="0.15">
      <c r="A116" s="322">
        <v>1317900790</v>
      </c>
      <c r="B116" s="322" t="s">
        <v>1155</v>
      </c>
      <c r="C116">
        <v>1317904920</v>
      </c>
      <c r="D116">
        <f t="shared" si="1"/>
        <v>1317900790</v>
      </c>
    </row>
    <row r="117" spans="1:4" ht="14" x14ac:dyDescent="0.15">
      <c r="A117" s="322">
        <v>1317904920</v>
      </c>
      <c r="B117" s="322" t="s">
        <v>392</v>
      </c>
      <c r="C117">
        <v>1317905920</v>
      </c>
      <c r="D117">
        <f t="shared" si="1"/>
        <v>1317904920</v>
      </c>
    </row>
    <row r="118" spans="1:4" ht="14" x14ac:dyDescent="0.15">
      <c r="A118" s="322">
        <v>1317905920</v>
      </c>
      <c r="B118" s="322" t="s">
        <v>393</v>
      </c>
      <c r="C118">
        <v>1317922920</v>
      </c>
      <c r="D118">
        <f t="shared" si="1"/>
        <v>1317905920</v>
      </c>
    </row>
    <row r="119" spans="1:4" ht="14" x14ac:dyDescent="0.15">
      <c r="A119" s="322">
        <v>1317922920</v>
      </c>
      <c r="B119" s="322" t="s">
        <v>394</v>
      </c>
      <c r="C119">
        <v>1317950790</v>
      </c>
      <c r="D119">
        <f t="shared" si="1"/>
        <v>1317922920</v>
      </c>
    </row>
    <row r="120" spans="1:4" ht="14" x14ac:dyDescent="0.15">
      <c r="A120" s="322">
        <v>1317950790</v>
      </c>
      <c r="B120" s="322" t="s">
        <v>294</v>
      </c>
      <c r="C120">
        <v>1317951920</v>
      </c>
      <c r="D120">
        <f t="shared" si="1"/>
        <v>1317950790</v>
      </c>
    </row>
    <row r="121" spans="1:4" ht="14" x14ac:dyDescent="0.15">
      <c r="A121" s="322">
        <v>1317950920</v>
      </c>
      <c r="B121" s="322" t="s">
        <v>1186</v>
      </c>
      <c r="C121">
        <v>1317952920</v>
      </c>
      <c r="D121" t="e">
        <f t="shared" si="1"/>
        <v>#N/A</v>
      </c>
    </row>
    <row r="122" spans="1:4" ht="14" x14ac:dyDescent="0.15">
      <c r="A122" s="322">
        <v>1317951920</v>
      </c>
      <c r="B122" s="322" t="s">
        <v>395</v>
      </c>
      <c r="C122">
        <v>1317960920</v>
      </c>
      <c r="D122">
        <f t="shared" si="1"/>
        <v>1317951920</v>
      </c>
    </row>
    <row r="123" spans="1:4" ht="14" x14ac:dyDescent="0.15">
      <c r="A123" s="322">
        <v>1317952920</v>
      </c>
      <c r="B123" s="322" t="s">
        <v>1149</v>
      </c>
      <c r="C123" s="182"/>
      <c r="D123">
        <f t="shared" si="1"/>
        <v>1317952920</v>
      </c>
    </row>
    <row r="124" spans="1:4" ht="14" x14ac:dyDescent="0.15">
      <c r="A124" s="322">
        <v>1317960920</v>
      </c>
      <c r="B124" s="322" t="s">
        <v>397</v>
      </c>
      <c r="C124">
        <v>1322000410</v>
      </c>
      <c r="D124">
        <f t="shared" si="1"/>
        <v>1317960920</v>
      </c>
    </row>
    <row r="125" spans="1:4" ht="14" x14ac:dyDescent="0.15">
      <c r="A125" s="324">
        <v>1319999920</v>
      </c>
      <c r="B125" s="322" t="s">
        <v>398</v>
      </c>
      <c r="C125">
        <v>1322000411</v>
      </c>
      <c r="D125" t="e">
        <f t="shared" si="1"/>
        <v>#N/A</v>
      </c>
    </row>
    <row r="126" spans="1:4" ht="14" x14ac:dyDescent="0.15">
      <c r="A126" s="322">
        <v>1322000410</v>
      </c>
      <c r="B126" s="322" t="s">
        <v>334</v>
      </c>
      <c r="C126">
        <v>1322000740</v>
      </c>
      <c r="D126">
        <f t="shared" si="1"/>
        <v>1322000410</v>
      </c>
    </row>
    <row r="127" spans="1:4" ht="14" x14ac:dyDescent="0.15">
      <c r="A127" s="322">
        <v>1322000411</v>
      </c>
      <c r="B127" s="322" t="s">
        <v>335</v>
      </c>
      <c r="C127">
        <v>1322000790</v>
      </c>
      <c r="D127">
        <f t="shared" si="1"/>
        <v>1322000411</v>
      </c>
    </row>
    <row r="128" spans="1:4" ht="14" x14ac:dyDescent="0.15">
      <c r="A128" s="322">
        <v>1322000740</v>
      </c>
      <c r="B128" s="322" t="s">
        <v>336</v>
      </c>
      <c r="C128">
        <v>1322000920</v>
      </c>
      <c r="D128">
        <f t="shared" si="1"/>
        <v>1322000740</v>
      </c>
    </row>
    <row r="129" spans="1:4" ht="14" x14ac:dyDescent="0.15">
      <c r="A129" s="322">
        <v>1322000790</v>
      </c>
      <c r="B129" s="322" t="s">
        <v>337</v>
      </c>
      <c r="C129">
        <v>1323000420</v>
      </c>
      <c r="D129">
        <f t="shared" si="1"/>
        <v>1322000790</v>
      </c>
    </row>
    <row r="130" spans="1:4" ht="14" x14ac:dyDescent="0.15">
      <c r="A130" s="322">
        <v>1322000920</v>
      </c>
      <c r="B130" s="322" t="s">
        <v>494</v>
      </c>
      <c r="C130">
        <v>1325200220</v>
      </c>
      <c r="D130">
        <f t="shared" si="1"/>
        <v>1322000920</v>
      </c>
    </row>
    <row r="131" spans="1:4" ht="14" x14ac:dyDescent="0.15">
      <c r="A131" s="322">
        <v>1323000420</v>
      </c>
      <c r="B131" s="322" t="s">
        <v>338</v>
      </c>
      <c r="C131">
        <v>1325200221</v>
      </c>
      <c r="D131">
        <f t="shared" si="1"/>
        <v>1323000420</v>
      </c>
    </row>
    <row r="132" spans="1:4" ht="14" x14ac:dyDescent="0.15">
      <c r="A132" s="322">
        <v>1325200220</v>
      </c>
      <c r="B132" s="322" t="s">
        <v>339</v>
      </c>
      <c r="C132">
        <v>1325200410</v>
      </c>
      <c r="D132">
        <f t="shared" ref="D132:D195" si="2">VLOOKUP(A132,$C$3:$C$1296,1,FALSE)</f>
        <v>1325200220</v>
      </c>
    </row>
    <row r="133" spans="1:4" ht="14" x14ac:dyDescent="0.15">
      <c r="A133" s="322">
        <v>1325200221</v>
      </c>
      <c r="B133" s="322" t="s">
        <v>1590</v>
      </c>
      <c r="C133">
        <v>1325200411</v>
      </c>
      <c r="D133">
        <f t="shared" si="2"/>
        <v>1325200221</v>
      </c>
    </row>
    <row r="134" spans="1:4" ht="14" x14ac:dyDescent="0.15">
      <c r="A134" s="322">
        <v>1325200410</v>
      </c>
      <c r="B134" s="322" t="s">
        <v>340</v>
      </c>
      <c r="C134">
        <v>1325200700</v>
      </c>
      <c r="D134">
        <f t="shared" si="2"/>
        <v>1325200410</v>
      </c>
    </row>
    <row r="135" spans="1:4" ht="14" x14ac:dyDescent="0.15">
      <c r="A135" s="322">
        <v>1325200411</v>
      </c>
      <c r="B135" s="322" t="s">
        <v>1641</v>
      </c>
      <c r="C135">
        <v>1325200920</v>
      </c>
      <c r="D135">
        <f t="shared" si="2"/>
        <v>1325200411</v>
      </c>
    </row>
    <row r="136" spans="1:4" ht="14" x14ac:dyDescent="0.15">
      <c r="A136" s="322">
        <v>1325200700</v>
      </c>
      <c r="B136" s="322" t="s">
        <v>341</v>
      </c>
      <c r="C136">
        <v>1329300920</v>
      </c>
      <c r="D136">
        <f t="shared" si="2"/>
        <v>1325200700</v>
      </c>
    </row>
    <row r="137" spans="1:4" ht="14" x14ac:dyDescent="0.15">
      <c r="A137" s="324">
        <v>1325200701</v>
      </c>
      <c r="B137" s="322" t="s">
        <v>2082</v>
      </c>
      <c r="C137">
        <v>1329300921</v>
      </c>
      <c r="D137" t="e">
        <f t="shared" si="2"/>
        <v>#N/A</v>
      </c>
    </row>
    <row r="138" spans="1:4" ht="14" x14ac:dyDescent="0.15">
      <c r="A138" s="322">
        <v>1325200920</v>
      </c>
      <c r="B138" s="322" t="s">
        <v>496</v>
      </c>
      <c r="C138" s="182"/>
      <c r="D138">
        <f t="shared" si="2"/>
        <v>1325200920</v>
      </c>
    </row>
    <row r="139" spans="1:4" ht="14" x14ac:dyDescent="0.15">
      <c r="A139" s="322">
        <v>1329300920</v>
      </c>
      <c r="B139" s="322" t="s">
        <v>497</v>
      </c>
      <c r="C139" s="182"/>
      <c r="D139">
        <f t="shared" si="2"/>
        <v>1329300920</v>
      </c>
    </row>
    <row r="140" spans="1:4" ht="14" x14ac:dyDescent="0.15">
      <c r="A140" s="322">
        <v>1329300921</v>
      </c>
      <c r="B140" s="322" t="s">
        <v>1537</v>
      </c>
      <c r="C140">
        <v>1341000930</v>
      </c>
      <c r="D140">
        <f t="shared" si="2"/>
        <v>1329300921</v>
      </c>
    </row>
    <row r="141" spans="1:4" ht="14" x14ac:dyDescent="0.15">
      <c r="A141" s="322">
        <v>1341000690</v>
      </c>
      <c r="B141" s="322" t="s">
        <v>1536</v>
      </c>
      <c r="C141">
        <v>1341000933</v>
      </c>
      <c r="D141" t="e">
        <f t="shared" si="2"/>
        <v>#N/A</v>
      </c>
    </row>
    <row r="142" spans="1:4" ht="14" x14ac:dyDescent="0.15">
      <c r="A142" s="322">
        <v>1341000930</v>
      </c>
      <c r="B142" s="322" t="s">
        <v>401</v>
      </c>
      <c r="C142">
        <v>1341000934</v>
      </c>
      <c r="D142">
        <f t="shared" si="2"/>
        <v>1341000930</v>
      </c>
    </row>
    <row r="143" spans="1:4" ht="14" x14ac:dyDescent="0.15">
      <c r="A143" s="322">
        <v>1341000933</v>
      </c>
      <c r="B143" s="322" t="s">
        <v>402</v>
      </c>
      <c r="C143">
        <v>1341000935</v>
      </c>
      <c r="D143">
        <f t="shared" si="2"/>
        <v>1341000933</v>
      </c>
    </row>
    <row r="144" spans="1:4" ht="14" x14ac:dyDescent="0.15">
      <c r="A144" s="322">
        <v>1341000934</v>
      </c>
      <c r="B144" s="322" t="s">
        <v>403</v>
      </c>
      <c r="C144">
        <v>1341000936</v>
      </c>
      <c r="D144">
        <f t="shared" si="2"/>
        <v>1341000934</v>
      </c>
    </row>
    <row r="145" spans="1:4" ht="14" x14ac:dyDescent="0.15">
      <c r="A145" s="322">
        <v>1341000935</v>
      </c>
      <c r="B145" s="322" t="s">
        <v>1404</v>
      </c>
      <c r="C145">
        <v>1341000937</v>
      </c>
      <c r="D145">
        <f t="shared" si="2"/>
        <v>1341000935</v>
      </c>
    </row>
    <row r="146" spans="1:4" ht="14" x14ac:dyDescent="0.15">
      <c r="A146" s="322">
        <v>1341000936</v>
      </c>
      <c r="B146" s="322" t="s">
        <v>404</v>
      </c>
      <c r="C146">
        <v>1341000938</v>
      </c>
      <c r="D146">
        <f t="shared" si="2"/>
        <v>1341000936</v>
      </c>
    </row>
    <row r="147" spans="1:4" ht="14" x14ac:dyDescent="0.15">
      <c r="A147" s="322">
        <v>1341000937</v>
      </c>
      <c r="B147" s="322" t="s">
        <v>405</v>
      </c>
      <c r="C147">
        <v>1342200930</v>
      </c>
      <c r="D147">
        <f t="shared" si="2"/>
        <v>1341000937</v>
      </c>
    </row>
    <row r="148" spans="1:4" ht="14" x14ac:dyDescent="0.15">
      <c r="A148" s="322">
        <v>1341000938</v>
      </c>
      <c r="B148" s="322" t="s">
        <v>1487</v>
      </c>
      <c r="C148">
        <v>1342200933</v>
      </c>
      <c r="D148">
        <f t="shared" si="2"/>
        <v>1341000938</v>
      </c>
    </row>
    <row r="149" spans="1:4" ht="14" x14ac:dyDescent="0.15">
      <c r="A149" s="324">
        <v>1341000939</v>
      </c>
      <c r="B149" s="322" t="s">
        <v>1591</v>
      </c>
      <c r="C149">
        <v>1342200934</v>
      </c>
      <c r="D149" t="e">
        <f t="shared" si="2"/>
        <v>#N/A</v>
      </c>
    </row>
    <row r="150" spans="1:4" ht="14" x14ac:dyDescent="0.15">
      <c r="A150" s="322">
        <v>1342200930</v>
      </c>
      <c r="B150" s="322" t="s">
        <v>406</v>
      </c>
      <c r="C150">
        <v>1342200936</v>
      </c>
      <c r="D150">
        <f t="shared" si="2"/>
        <v>1342200930</v>
      </c>
    </row>
    <row r="151" spans="1:4" ht="14" x14ac:dyDescent="0.15">
      <c r="A151" s="322">
        <v>1342200931</v>
      </c>
      <c r="B151" s="322" t="s">
        <v>1252</v>
      </c>
      <c r="C151">
        <v>1342200937</v>
      </c>
      <c r="D151" t="e">
        <f t="shared" si="2"/>
        <v>#N/A</v>
      </c>
    </row>
    <row r="152" spans="1:4" ht="14" x14ac:dyDescent="0.15">
      <c r="A152" s="322">
        <v>1342200933</v>
      </c>
      <c r="B152" s="322" t="s">
        <v>407</v>
      </c>
      <c r="C152">
        <v>1342400420</v>
      </c>
      <c r="D152">
        <f t="shared" si="2"/>
        <v>1342200933</v>
      </c>
    </row>
    <row r="153" spans="1:4" ht="14" x14ac:dyDescent="0.15">
      <c r="A153" s="322">
        <v>1342200934</v>
      </c>
      <c r="B153" s="322" t="s">
        <v>408</v>
      </c>
      <c r="C153">
        <v>1342400931</v>
      </c>
      <c r="D153">
        <f t="shared" si="2"/>
        <v>1342200934</v>
      </c>
    </row>
    <row r="154" spans="1:4" ht="14" x14ac:dyDescent="0.15">
      <c r="A154" s="322">
        <v>1342200936</v>
      </c>
      <c r="B154" s="322" t="s">
        <v>409</v>
      </c>
      <c r="C154">
        <v>1342400935</v>
      </c>
      <c r="D154">
        <f t="shared" si="2"/>
        <v>1342200936</v>
      </c>
    </row>
    <row r="155" spans="1:4" ht="14" x14ac:dyDescent="0.15">
      <c r="A155" s="322">
        <v>1342200937</v>
      </c>
      <c r="B155" s="322" t="s">
        <v>1485</v>
      </c>
      <c r="C155">
        <v>1342400937</v>
      </c>
      <c r="D155">
        <f t="shared" si="2"/>
        <v>1342200937</v>
      </c>
    </row>
    <row r="156" spans="1:4" ht="14" x14ac:dyDescent="0.15">
      <c r="A156" s="322">
        <v>1342200938</v>
      </c>
      <c r="B156" s="322" t="s">
        <v>1406</v>
      </c>
      <c r="C156">
        <v>1342401930</v>
      </c>
      <c r="D156" t="e">
        <f t="shared" si="2"/>
        <v>#N/A</v>
      </c>
    </row>
    <row r="157" spans="1:4" ht="14" x14ac:dyDescent="0.15">
      <c r="A157" s="322">
        <v>1342200939</v>
      </c>
      <c r="B157" s="322" t="s">
        <v>93</v>
      </c>
      <c r="C157">
        <v>1342401931</v>
      </c>
      <c r="D157" t="e">
        <f t="shared" si="2"/>
        <v>#N/A</v>
      </c>
    </row>
    <row r="158" spans="1:4" ht="14" x14ac:dyDescent="0.15">
      <c r="A158" s="322">
        <v>1342400420</v>
      </c>
      <c r="B158" s="322" t="s">
        <v>1407</v>
      </c>
      <c r="C158">
        <v>1343500420</v>
      </c>
      <c r="D158">
        <f t="shared" si="2"/>
        <v>1342400420</v>
      </c>
    </row>
    <row r="159" spans="1:4" ht="14" x14ac:dyDescent="0.15">
      <c r="A159" s="322">
        <v>1342400931</v>
      </c>
      <c r="B159" s="322" t="s">
        <v>410</v>
      </c>
      <c r="C159">
        <v>1343500930</v>
      </c>
      <c r="D159">
        <f t="shared" si="2"/>
        <v>1342400931</v>
      </c>
    </row>
    <row r="160" spans="1:4" ht="14" x14ac:dyDescent="0.15">
      <c r="A160" s="322">
        <v>1342400935</v>
      </c>
      <c r="B160" s="322" t="s">
        <v>411</v>
      </c>
      <c r="C160">
        <v>1343500931</v>
      </c>
      <c r="D160">
        <f t="shared" si="2"/>
        <v>1342400935</v>
      </c>
    </row>
    <row r="161" spans="1:4" ht="14" x14ac:dyDescent="0.15">
      <c r="A161" s="324">
        <v>1342400936</v>
      </c>
      <c r="B161" s="322" t="s">
        <v>1408</v>
      </c>
      <c r="C161">
        <v>1343500932</v>
      </c>
      <c r="D161" t="e">
        <f t="shared" si="2"/>
        <v>#N/A</v>
      </c>
    </row>
    <row r="162" spans="1:4" ht="14" x14ac:dyDescent="0.15">
      <c r="A162" s="322">
        <v>1342400937</v>
      </c>
      <c r="B162" s="322" t="s">
        <v>1592</v>
      </c>
      <c r="C162">
        <v>1343500934</v>
      </c>
      <c r="D162">
        <f t="shared" si="2"/>
        <v>1342400937</v>
      </c>
    </row>
    <row r="163" spans="1:4" ht="14" x14ac:dyDescent="0.15">
      <c r="A163" s="322">
        <v>1342401930</v>
      </c>
      <c r="B163" s="322" t="s">
        <v>412</v>
      </c>
      <c r="C163">
        <v>1343500935</v>
      </c>
      <c r="D163">
        <f t="shared" si="2"/>
        <v>1342401930</v>
      </c>
    </row>
    <row r="164" spans="1:4" ht="14" x14ac:dyDescent="0.15">
      <c r="A164" s="322">
        <v>1342401931</v>
      </c>
      <c r="B164" s="322" t="s">
        <v>2083</v>
      </c>
      <c r="C164">
        <v>1343500937</v>
      </c>
      <c r="D164">
        <f t="shared" si="2"/>
        <v>1342401931</v>
      </c>
    </row>
    <row r="165" spans="1:4" ht="14" x14ac:dyDescent="0.15">
      <c r="A165" s="322">
        <v>1343500420</v>
      </c>
      <c r="B165" s="322" t="s">
        <v>1191</v>
      </c>
      <c r="C165">
        <v>1343500939</v>
      </c>
      <c r="D165">
        <f t="shared" si="2"/>
        <v>1343500420</v>
      </c>
    </row>
    <row r="166" spans="1:4" ht="14" x14ac:dyDescent="0.15">
      <c r="A166" s="322">
        <v>1343500930</v>
      </c>
      <c r="B166" s="322" t="s">
        <v>57</v>
      </c>
      <c r="C166">
        <v>1343500940</v>
      </c>
      <c r="D166">
        <f t="shared" si="2"/>
        <v>1343500930</v>
      </c>
    </row>
    <row r="167" spans="1:4" ht="14" x14ac:dyDescent="0.15">
      <c r="A167" s="322">
        <v>1343500931</v>
      </c>
      <c r="B167" s="322" t="s">
        <v>413</v>
      </c>
      <c r="C167">
        <v>1343500941</v>
      </c>
      <c r="D167">
        <f t="shared" si="2"/>
        <v>1343500931</v>
      </c>
    </row>
    <row r="168" spans="1:4" ht="14" x14ac:dyDescent="0.15">
      <c r="A168" s="322">
        <v>1343500932</v>
      </c>
      <c r="B168" s="322" t="s">
        <v>414</v>
      </c>
      <c r="C168">
        <v>1343523410</v>
      </c>
      <c r="D168">
        <f t="shared" si="2"/>
        <v>1343500932</v>
      </c>
    </row>
    <row r="169" spans="1:4" ht="14" x14ac:dyDescent="0.15">
      <c r="A169" s="322">
        <v>1343500934</v>
      </c>
      <c r="B169" s="322" t="s">
        <v>415</v>
      </c>
      <c r="C169">
        <v>1343800420</v>
      </c>
      <c r="D169">
        <f t="shared" si="2"/>
        <v>1343500934</v>
      </c>
    </row>
    <row r="170" spans="1:4" ht="14" x14ac:dyDescent="0.15">
      <c r="A170" s="322">
        <v>1343500935</v>
      </c>
      <c r="B170" s="322" t="s">
        <v>416</v>
      </c>
      <c r="C170">
        <v>1343800930</v>
      </c>
      <c r="D170">
        <f t="shared" si="2"/>
        <v>1343500935</v>
      </c>
    </row>
    <row r="171" spans="1:4" ht="14" x14ac:dyDescent="0.15">
      <c r="A171" s="322">
        <v>1343500937</v>
      </c>
      <c r="B171" s="322" t="s">
        <v>417</v>
      </c>
      <c r="C171">
        <v>1343800935</v>
      </c>
      <c r="D171">
        <f t="shared" si="2"/>
        <v>1343500937</v>
      </c>
    </row>
    <row r="172" spans="1:4" ht="14" x14ac:dyDescent="0.15">
      <c r="A172" s="322">
        <v>1343500939</v>
      </c>
      <c r="B172" s="322" t="s">
        <v>418</v>
      </c>
      <c r="C172">
        <v>1343900930</v>
      </c>
      <c r="D172">
        <f t="shared" si="2"/>
        <v>1343500939</v>
      </c>
    </row>
    <row r="173" spans="1:4" ht="14" x14ac:dyDescent="0.15">
      <c r="A173" s="322">
        <v>1343500940</v>
      </c>
      <c r="B173" s="322" t="s">
        <v>58</v>
      </c>
      <c r="C173">
        <v>1344300420</v>
      </c>
      <c r="D173">
        <f t="shared" si="2"/>
        <v>1343500940</v>
      </c>
    </row>
    <row r="174" spans="1:4" ht="14" x14ac:dyDescent="0.15">
      <c r="A174" s="322">
        <v>1343500941</v>
      </c>
      <c r="B174" s="322" t="s">
        <v>1593</v>
      </c>
      <c r="C174">
        <v>1344300421</v>
      </c>
      <c r="D174">
        <f t="shared" si="2"/>
        <v>1343500941</v>
      </c>
    </row>
    <row r="175" spans="1:4" ht="14" x14ac:dyDescent="0.15">
      <c r="A175" s="322">
        <v>1343523410</v>
      </c>
      <c r="B175" s="322" t="s">
        <v>298</v>
      </c>
      <c r="C175">
        <v>1344300930</v>
      </c>
      <c r="D175">
        <f t="shared" si="2"/>
        <v>1343523410</v>
      </c>
    </row>
    <row r="176" spans="1:4" ht="14" x14ac:dyDescent="0.15">
      <c r="A176" s="324">
        <v>1343800410</v>
      </c>
      <c r="B176" s="322" t="s">
        <v>1411</v>
      </c>
      <c r="C176">
        <v>1344300932</v>
      </c>
      <c r="D176" t="e">
        <f t="shared" si="2"/>
        <v>#N/A</v>
      </c>
    </row>
    <row r="177" spans="1:4" ht="14" x14ac:dyDescent="0.15">
      <c r="A177" s="322">
        <v>1343800420</v>
      </c>
      <c r="B177" s="322" t="s">
        <v>299</v>
      </c>
      <c r="C177">
        <v>1344400931</v>
      </c>
      <c r="D177">
        <f t="shared" si="2"/>
        <v>1343800420</v>
      </c>
    </row>
    <row r="178" spans="1:4" ht="14" x14ac:dyDescent="0.15">
      <c r="A178" s="322">
        <v>1343800421</v>
      </c>
      <c r="B178" s="322" t="s">
        <v>1192</v>
      </c>
      <c r="C178">
        <v>1344400932</v>
      </c>
      <c r="D178" t="e">
        <f t="shared" si="2"/>
        <v>#N/A</v>
      </c>
    </row>
    <row r="179" spans="1:4" ht="14" x14ac:dyDescent="0.15">
      <c r="A179" s="322">
        <v>1343800930</v>
      </c>
      <c r="B179" s="322" t="s">
        <v>419</v>
      </c>
      <c r="C179">
        <v>1344400934</v>
      </c>
      <c r="D179">
        <f t="shared" si="2"/>
        <v>1343800930</v>
      </c>
    </row>
    <row r="180" spans="1:4" ht="14" x14ac:dyDescent="0.15">
      <c r="A180" s="322">
        <v>1343800935</v>
      </c>
      <c r="B180" s="322" t="s">
        <v>420</v>
      </c>
      <c r="C180">
        <v>1344400935</v>
      </c>
      <c r="D180">
        <f t="shared" si="2"/>
        <v>1343800935</v>
      </c>
    </row>
    <row r="181" spans="1:4" ht="14" x14ac:dyDescent="0.15">
      <c r="A181" s="322">
        <v>1343900930</v>
      </c>
      <c r="B181" s="322" t="s">
        <v>421</v>
      </c>
      <c r="C181">
        <v>1344400939</v>
      </c>
      <c r="D181">
        <f t="shared" si="2"/>
        <v>1343900930</v>
      </c>
    </row>
    <row r="182" spans="1:4" ht="14" x14ac:dyDescent="0.15">
      <c r="A182" s="322">
        <v>1344300420</v>
      </c>
      <c r="B182" s="322" t="s">
        <v>300</v>
      </c>
      <c r="C182">
        <v>1344400940</v>
      </c>
      <c r="D182">
        <f t="shared" si="2"/>
        <v>1344300420</v>
      </c>
    </row>
    <row r="183" spans="1:4" ht="14" x14ac:dyDescent="0.15">
      <c r="A183" s="322">
        <v>1344300421</v>
      </c>
      <c r="B183" s="322" t="s">
        <v>301</v>
      </c>
      <c r="C183">
        <v>1344400941</v>
      </c>
      <c r="D183">
        <f t="shared" si="2"/>
        <v>1344300421</v>
      </c>
    </row>
    <row r="184" spans="1:4" ht="14" x14ac:dyDescent="0.15">
      <c r="A184" s="322">
        <v>1344300930</v>
      </c>
      <c r="B184" s="322" t="s">
        <v>300</v>
      </c>
      <c r="C184">
        <v>1344400942</v>
      </c>
      <c r="D184">
        <f t="shared" si="2"/>
        <v>1344300930</v>
      </c>
    </row>
    <row r="185" spans="1:4" ht="14" x14ac:dyDescent="0.15">
      <c r="A185" s="322">
        <v>1344300932</v>
      </c>
      <c r="B185" s="322" t="s">
        <v>59</v>
      </c>
      <c r="C185">
        <v>1344400943</v>
      </c>
      <c r="D185">
        <f t="shared" si="2"/>
        <v>1344300932</v>
      </c>
    </row>
    <row r="186" spans="1:4" ht="14" x14ac:dyDescent="0.15">
      <c r="A186" s="322">
        <v>1344324410</v>
      </c>
      <c r="B186" s="322" t="s">
        <v>1193</v>
      </c>
      <c r="C186">
        <v>1344500420</v>
      </c>
      <c r="D186" t="e">
        <f t="shared" si="2"/>
        <v>#N/A</v>
      </c>
    </row>
    <row r="187" spans="1:4" ht="14" x14ac:dyDescent="0.15">
      <c r="A187" s="322">
        <v>1344400931</v>
      </c>
      <c r="B187" s="322" t="s">
        <v>422</v>
      </c>
      <c r="C187">
        <v>1344500930</v>
      </c>
      <c r="D187">
        <f t="shared" si="2"/>
        <v>1344400931</v>
      </c>
    </row>
    <row r="188" spans="1:4" ht="14" x14ac:dyDescent="0.15">
      <c r="A188" s="322">
        <v>1344400932</v>
      </c>
      <c r="B188" s="322" t="s">
        <v>423</v>
      </c>
      <c r="C188">
        <v>1344500934</v>
      </c>
      <c r="D188">
        <f t="shared" si="2"/>
        <v>1344400932</v>
      </c>
    </row>
    <row r="189" spans="1:4" ht="14" x14ac:dyDescent="0.15">
      <c r="A189" s="322">
        <v>1344400933</v>
      </c>
      <c r="B189" s="322" t="s">
        <v>1194</v>
      </c>
      <c r="C189">
        <v>1344500935</v>
      </c>
      <c r="D189" t="e">
        <f t="shared" si="2"/>
        <v>#N/A</v>
      </c>
    </row>
    <row r="190" spans="1:4" ht="14" x14ac:dyDescent="0.15">
      <c r="A190" s="322">
        <v>1344400934</v>
      </c>
      <c r="B190" s="322" t="s">
        <v>424</v>
      </c>
      <c r="C190">
        <v>1345100420</v>
      </c>
      <c r="D190">
        <f t="shared" si="2"/>
        <v>1344400934</v>
      </c>
    </row>
    <row r="191" spans="1:4" ht="14" x14ac:dyDescent="0.15">
      <c r="A191" s="322">
        <v>1344400935</v>
      </c>
      <c r="B191" s="322" t="s">
        <v>425</v>
      </c>
      <c r="C191">
        <v>1345100932</v>
      </c>
      <c r="D191">
        <f t="shared" si="2"/>
        <v>1344400935</v>
      </c>
    </row>
    <row r="192" spans="1:4" ht="14" x14ac:dyDescent="0.15">
      <c r="A192" s="322">
        <v>1344400936</v>
      </c>
      <c r="B192" s="322" t="s">
        <v>60</v>
      </c>
      <c r="C192">
        <v>1345100933</v>
      </c>
      <c r="D192" t="e">
        <f t="shared" si="2"/>
        <v>#N/A</v>
      </c>
    </row>
    <row r="193" spans="1:4" ht="14" x14ac:dyDescent="0.15">
      <c r="A193" s="322">
        <v>1344400939</v>
      </c>
      <c r="B193" s="322" t="s">
        <v>426</v>
      </c>
      <c r="C193">
        <v>1345100934</v>
      </c>
      <c r="D193">
        <f t="shared" si="2"/>
        <v>1344400939</v>
      </c>
    </row>
    <row r="194" spans="1:4" ht="14" x14ac:dyDescent="0.15">
      <c r="A194" s="322">
        <v>1344400940</v>
      </c>
      <c r="B194" s="322" t="s">
        <v>1482</v>
      </c>
      <c r="C194">
        <v>1345100935</v>
      </c>
      <c r="D194">
        <f t="shared" si="2"/>
        <v>1344400940</v>
      </c>
    </row>
    <row r="195" spans="1:4" ht="14" x14ac:dyDescent="0.15">
      <c r="A195" s="322">
        <v>1344400941</v>
      </c>
      <c r="B195" s="322" t="s">
        <v>1594</v>
      </c>
      <c r="C195">
        <v>1345100936</v>
      </c>
      <c r="D195">
        <f t="shared" si="2"/>
        <v>1344400941</v>
      </c>
    </row>
    <row r="196" spans="1:4" ht="14" x14ac:dyDescent="0.15">
      <c r="A196" s="322">
        <v>1344400942</v>
      </c>
      <c r="B196" s="322" t="s">
        <v>1722</v>
      </c>
      <c r="C196">
        <v>1345100938</v>
      </c>
      <c r="D196">
        <f t="shared" ref="D196:D259" si="3">VLOOKUP(A196,$C$3:$C$1296,1,FALSE)</f>
        <v>1344400942</v>
      </c>
    </row>
    <row r="197" spans="1:4" ht="14" x14ac:dyDescent="0.15">
      <c r="A197" s="322">
        <v>1344400943</v>
      </c>
      <c r="B197" s="322" t="s">
        <v>1951</v>
      </c>
      <c r="C197">
        <v>1345100939</v>
      </c>
      <c r="D197">
        <f t="shared" si="3"/>
        <v>1344400943</v>
      </c>
    </row>
    <row r="198" spans="1:4" ht="14" x14ac:dyDescent="0.15">
      <c r="A198" s="324">
        <v>1344400944</v>
      </c>
      <c r="B198" s="322" t="s">
        <v>2084</v>
      </c>
      <c r="C198">
        <v>1345100940</v>
      </c>
      <c r="D198" t="e">
        <f t="shared" si="3"/>
        <v>#N/A</v>
      </c>
    </row>
    <row r="199" spans="1:4" ht="14" x14ac:dyDescent="0.15">
      <c r="A199" s="322">
        <v>1344500420</v>
      </c>
      <c r="B199" s="322" t="s">
        <v>302</v>
      </c>
      <c r="C199">
        <v>1345100941</v>
      </c>
      <c r="D199">
        <f t="shared" si="3"/>
        <v>1344500420</v>
      </c>
    </row>
    <row r="200" spans="1:4" ht="14" x14ac:dyDescent="0.15">
      <c r="A200" s="322">
        <v>1344500930</v>
      </c>
      <c r="B200" s="322" t="s">
        <v>427</v>
      </c>
      <c r="C200">
        <v>1345100942</v>
      </c>
      <c r="D200">
        <f t="shared" si="3"/>
        <v>1344500930</v>
      </c>
    </row>
    <row r="201" spans="1:4" ht="14" x14ac:dyDescent="0.15">
      <c r="A201" s="322">
        <v>1344500933</v>
      </c>
      <c r="B201" s="322" t="s">
        <v>1481</v>
      </c>
      <c r="C201">
        <v>1345100943</v>
      </c>
      <c r="D201" t="e">
        <f t="shared" si="3"/>
        <v>#N/A</v>
      </c>
    </row>
    <row r="202" spans="1:4" ht="14" x14ac:dyDescent="0.15">
      <c r="A202" s="322">
        <v>1344500934</v>
      </c>
      <c r="B202" s="322" t="s">
        <v>1650</v>
      </c>
      <c r="C202">
        <v>1345200932</v>
      </c>
      <c r="D202">
        <f t="shared" si="3"/>
        <v>1344500934</v>
      </c>
    </row>
    <row r="203" spans="1:4" ht="14" x14ac:dyDescent="0.15">
      <c r="A203" s="322">
        <v>1344500935</v>
      </c>
      <c r="B203" s="322" t="s">
        <v>1649</v>
      </c>
      <c r="C203">
        <v>1345200937</v>
      </c>
      <c r="D203">
        <f t="shared" si="3"/>
        <v>1344500935</v>
      </c>
    </row>
    <row r="204" spans="1:4" ht="14" x14ac:dyDescent="0.15">
      <c r="A204" s="322">
        <v>1345100420</v>
      </c>
      <c r="B204" s="322" t="s">
        <v>1196</v>
      </c>
      <c r="C204">
        <v>1345300420</v>
      </c>
      <c r="D204">
        <f t="shared" si="3"/>
        <v>1345100420</v>
      </c>
    </row>
    <row r="205" spans="1:4" ht="14" x14ac:dyDescent="0.15">
      <c r="A205" s="322">
        <v>1345100930</v>
      </c>
      <c r="B205" s="322" t="s">
        <v>429</v>
      </c>
      <c r="C205">
        <v>1345300930</v>
      </c>
      <c r="D205" t="e">
        <f t="shared" si="3"/>
        <v>#N/A</v>
      </c>
    </row>
    <row r="206" spans="1:4" ht="14" x14ac:dyDescent="0.15">
      <c r="A206" s="322">
        <v>1345100931</v>
      </c>
      <c r="B206" s="322" t="s">
        <v>430</v>
      </c>
      <c r="C206">
        <v>1345300931</v>
      </c>
      <c r="D206" t="e">
        <f t="shared" si="3"/>
        <v>#N/A</v>
      </c>
    </row>
    <row r="207" spans="1:4" ht="14" x14ac:dyDescent="0.15">
      <c r="A207" s="322">
        <v>1345100932</v>
      </c>
      <c r="B207" s="322" t="s">
        <v>431</v>
      </c>
      <c r="C207">
        <v>1345300933</v>
      </c>
      <c r="D207">
        <f t="shared" si="3"/>
        <v>1345100932</v>
      </c>
    </row>
    <row r="208" spans="1:4" ht="14" x14ac:dyDescent="0.15">
      <c r="A208" s="322">
        <v>1345100933</v>
      </c>
      <c r="B208" s="322" t="s">
        <v>432</v>
      </c>
      <c r="C208">
        <v>1345300936</v>
      </c>
      <c r="D208">
        <f t="shared" si="3"/>
        <v>1345100933</v>
      </c>
    </row>
    <row r="209" spans="1:4" ht="14" x14ac:dyDescent="0.15">
      <c r="A209" s="322">
        <v>1345100934</v>
      </c>
      <c r="B209" s="322" t="s">
        <v>1196</v>
      </c>
      <c r="C209">
        <v>1345300937</v>
      </c>
      <c r="D209">
        <f t="shared" si="3"/>
        <v>1345100934</v>
      </c>
    </row>
    <row r="210" spans="1:4" ht="14" x14ac:dyDescent="0.15">
      <c r="A210" s="322">
        <v>1345100935</v>
      </c>
      <c r="B210" s="322" t="s">
        <v>433</v>
      </c>
      <c r="C210">
        <v>1345300938</v>
      </c>
      <c r="D210">
        <f t="shared" si="3"/>
        <v>1345100935</v>
      </c>
    </row>
    <row r="211" spans="1:4" ht="14" x14ac:dyDescent="0.15">
      <c r="A211" s="322">
        <v>1345100936</v>
      </c>
      <c r="B211" s="322" t="s">
        <v>434</v>
      </c>
      <c r="C211">
        <v>1345523410</v>
      </c>
      <c r="D211">
        <f t="shared" si="3"/>
        <v>1345100936</v>
      </c>
    </row>
    <row r="212" spans="1:4" ht="14" x14ac:dyDescent="0.15">
      <c r="A212" s="322">
        <v>1345100937</v>
      </c>
      <c r="B212" s="322" t="s">
        <v>94</v>
      </c>
      <c r="C212">
        <v>1346100930</v>
      </c>
      <c r="D212" t="e">
        <f t="shared" si="3"/>
        <v>#N/A</v>
      </c>
    </row>
    <row r="213" spans="1:4" ht="14" x14ac:dyDescent="0.15">
      <c r="A213" s="322">
        <v>1345100938</v>
      </c>
      <c r="B213" s="322" t="s">
        <v>1412</v>
      </c>
      <c r="C213">
        <v>1346300931</v>
      </c>
      <c r="D213">
        <f t="shared" si="3"/>
        <v>1345100938</v>
      </c>
    </row>
    <row r="214" spans="1:4" ht="14" x14ac:dyDescent="0.15">
      <c r="A214" s="322">
        <v>1345100939</v>
      </c>
      <c r="B214" s="322" t="s">
        <v>1413</v>
      </c>
      <c r="C214">
        <v>1346300933</v>
      </c>
      <c r="D214">
        <f t="shared" si="3"/>
        <v>1345100939</v>
      </c>
    </row>
    <row r="215" spans="1:4" ht="14" x14ac:dyDescent="0.15">
      <c r="A215" s="322">
        <v>1345100940</v>
      </c>
      <c r="B215" s="322" t="s">
        <v>61</v>
      </c>
      <c r="C215">
        <v>1346400930</v>
      </c>
      <c r="D215">
        <f t="shared" si="3"/>
        <v>1345100940</v>
      </c>
    </row>
    <row r="216" spans="1:4" ht="14" x14ac:dyDescent="0.15">
      <c r="A216" s="322">
        <v>1345100941</v>
      </c>
      <c r="B216" s="322" t="s">
        <v>62</v>
      </c>
      <c r="C216">
        <v>1346500930</v>
      </c>
      <c r="D216">
        <f t="shared" si="3"/>
        <v>1345100941</v>
      </c>
    </row>
    <row r="217" spans="1:4" ht="14" x14ac:dyDescent="0.15">
      <c r="A217" s="322">
        <v>1345100942</v>
      </c>
      <c r="B217" s="322" t="s">
        <v>1480</v>
      </c>
      <c r="C217">
        <v>1346600930</v>
      </c>
      <c r="D217">
        <f t="shared" si="3"/>
        <v>1345100942</v>
      </c>
    </row>
    <row r="218" spans="1:4" ht="14" x14ac:dyDescent="0.15">
      <c r="A218" s="322">
        <v>1345100943</v>
      </c>
      <c r="B218" s="322" t="s">
        <v>1952</v>
      </c>
      <c r="C218">
        <v>1346600931</v>
      </c>
      <c r="D218">
        <f t="shared" si="3"/>
        <v>1345100943</v>
      </c>
    </row>
    <row r="219" spans="1:4" ht="14" x14ac:dyDescent="0.15">
      <c r="A219" s="322">
        <v>1345200930</v>
      </c>
      <c r="B219" s="322" t="s">
        <v>435</v>
      </c>
      <c r="C219">
        <v>1346600933</v>
      </c>
      <c r="D219" t="e">
        <f t="shared" si="3"/>
        <v>#N/A</v>
      </c>
    </row>
    <row r="220" spans="1:4" ht="14" x14ac:dyDescent="0.15">
      <c r="A220" s="324">
        <v>1345200931</v>
      </c>
      <c r="B220" s="322" t="s">
        <v>436</v>
      </c>
      <c r="C220">
        <v>1346700420</v>
      </c>
      <c r="D220" t="e">
        <f t="shared" si="3"/>
        <v>#N/A</v>
      </c>
    </row>
    <row r="221" spans="1:4" ht="14" x14ac:dyDescent="0.15">
      <c r="A221" s="322">
        <v>1345200932</v>
      </c>
      <c r="B221" s="322" t="s">
        <v>437</v>
      </c>
      <c r="C221">
        <v>1346700930</v>
      </c>
      <c r="D221">
        <f t="shared" si="3"/>
        <v>1345200932</v>
      </c>
    </row>
    <row r="222" spans="1:4" ht="14" x14ac:dyDescent="0.15">
      <c r="A222" s="322">
        <v>1345200936</v>
      </c>
      <c r="B222" s="322" t="s">
        <v>63</v>
      </c>
      <c r="C222">
        <v>1346700931</v>
      </c>
      <c r="D222" t="e">
        <f t="shared" si="3"/>
        <v>#N/A</v>
      </c>
    </row>
    <row r="223" spans="1:4" ht="14" x14ac:dyDescent="0.15">
      <c r="A223" s="326">
        <v>1345200937</v>
      </c>
      <c r="B223" s="322" t="s">
        <v>64</v>
      </c>
      <c r="C223">
        <v>1346700933</v>
      </c>
      <c r="D223">
        <f t="shared" si="3"/>
        <v>1345200937</v>
      </c>
    </row>
    <row r="224" spans="1:4" ht="14" x14ac:dyDescent="0.15">
      <c r="A224" s="322">
        <v>1345300420</v>
      </c>
      <c r="B224" s="322" t="s">
        <v>1197</v>
      </c>
      <c r="C224">
        <v>1346700934</v>
      </c>
      <c r="D224">
        <f t="shared" si="3"/>
        <v>1345300420</v>
      </c>
    </row>
    <row r="225" spans="1:4" ht="14" x14ac:dyDescent="0.15">
      <c r="A225" s="322">
        <v>1345300930</v>
      </c>
      <c r="B225" s="322" t="s">
        <v>298</v>
      </c>
      <c r="C225">
        <v>1346700935</v>
      </c>
      <c r="D225">
        <f t="shared" si="3"/>
        <v>1345300930</v>
      </c>
    </row>
    <row r="226" spans="1:4" ht="14" x14ac:dyDescent="0.15">
      <c r="A226" s="322">
        <v>1345300931</v>
      </c>
      <c r="B226" s="322" t="s">
        <v>439</v>
      </c>
      <c r="C226">
        <v>1346700936</v>
      </c>
      <c r="D226">
        <f t="shared" si="3"/>
        <v>1345300931</v>
      </c>
    </row>
    <row r="227" spans="1:4" ht="14" x14ac:dyDescent="0.15">
      <c r="A227" s="322">
        <v>1345300933</v>
      </c>
      <c r="B227" s="322" t="s">
        <v>440</v>
      </c>
      <c r="C227">
        <v>1346700938</v>
      </c>
      <c r="D227">
        <f t="shared" si="3"/>
        <v>1345300933</v>
      </c>
    </row>
    <row r="228" spans="1:4" ht="14" x14ac:dyDescent="0.15">
      <c r="A228" s="322">
        <v>1345300935</v>
      </c>
      <c r="B228" s="322" t="s">
        <v>441</v>
      </c>
      <c r="C228">
        <v>1346700939</v>
      </c>
      <c r="D228" t="e">
        <f t="shared" si="3"/>
        <v>#N/A</v>
      </c>
    </row>
    <row r="229" spans="1:4" ht="14" x14ac:dyDescent="0.15">
      <c r="A229" s="322">
        <v>1345300936</v>
      </c>
      <c r="B229" s="322" t="s">
        <v>87</v>
      </c>
      <c r="C229">
        <v>1346700950</v>
      </c>
      <c r="D229">
        <f t="shared" si="3"/>
        <v>1345300936</v>
      </c>
    </row>
    <row r="230" spans="1:4" ht="14" x14ac:dyDescent="0.15">
      <c r="A230" s="322">
        <v>1345300937</v>
      </c>
      <c r="B230" s="322" t="s">
        <v>65</v>
      </c>
      <c r="C230">
        <v>1346800932</v>
      </c>
      <c r="D230">
        <f t="shared" si="3"/>
        <v>1345300937</v>
      </c>
    </row>
    <row r="231" spans="1:4" ht="14" x14ac:dyDescent="0.15">
      <c r="A231" s="322">
        <v>1345300938</v>
      </c>
      <c r="B231" s="322" t="s">
        <v>66</v>
      </c>
      <c r="C231">
        <v>1346800933</v>
      </c>
      <c r="D231">
        <f t="shared" si="3"/>
        <v>1345300938</v>
      </c>
    </row>
    <row r="232" spans="1:4" ht="14" x14ac:dyDescent="0.15">
      <c r="A232" s="322">
        <v>1345523410</v>
      </c>
      <c r="B232" s="322" t="s">
        <v>298</v>
      </c>
      <c r="C232">
        <v>1346800934</v>
      </c>
      <c r="D232">
        <f t="shared" si="3"/>
        <v>1345523410</v>
      </c>
    </row>
    <row r="233" spans="1:4" ht="14" x14ac:dyDescent="0.15">
      <c r="A233" s="322">
        <v>1346100930</v>
      </c>
      <c r="B233" s="322" t="s">
        <v>442</v>
      </c>
      <c r="C233">
        <v>1346800936</v>
      </c>
      <c r="D233">
        <f t="shared" si="3"/>
        <v>1346100930</v>
      </c>
    </row>
    <row r="234" spans="1:4" ht="14" x14ac:dyDescent="0.15">
      <c r="A234" s="322">
        <v>1346300931</v>
      </c>
      <c r="B234" s="322" t="s">
        <v>443</v>
      </c>
      <c r="C234">
        <v>1346800938</v>
      </c>
      <c r="D234">
        <f t="shared" si="3"/>
        <v>1346300931</v>
      </c>
    </row>
    <row r="235" spans="1:4" ht="14" x14ac:dyDescent="0.15">
      <c r="A235" s="322">
        <v>1346300933</v>
      </c>
      <c r="B235" s="322" t="s">
        <v>444</v>
      </c>
      <c r="C235">
        <v>1346800940</v>
      </c>
      <c r="D235">
        <f t="shared" si="3"/>
        <v>1346300933</v>
      </c>
    </row>
    <row r="236" spans="1:4" ht="14" x14ac:dyDescent="0.15">
      <c r="A236" s="322">
        <v>1346400930</v>
      </c>
      <c r="B236" s="322" t="s">
        <v>1415</v>
      </c>
      <c r="C236">
        <v>1346900420</v>
      </c>
      <c r="D236">
        <f t="shared" si="3"/>
        <v>1346400930</v>
      </c>
    </row>
    <row r="237" spans="1:4" ht="14" x14ac:dyDescent="0.15">
      <c r="A237" s="324">
        <v>1346400931</v>
      </c>
      <c r="B237" s="322" t="s">
        <v>445</v>
      </c>
      <c r="C237">
        <v>1346900920</v>
      </c>
      <c r="D237" t="e">
        <f t="shared" si="3"/>
        <v>#N/A</v>
      </c>
    </row>
    <row r="238" spans="1:4" ht="14" x14ac:dyDescent="0.15">
      <c r="A238" s="322">
        <v>1346500930</v>
      </c>
      <c r="B238" s="322" t="s">
        <v>446</v>
      </c>
      <c r="C238">
        <v>1347100931</v>
      </c>
      <c r="D238">
        <f t="shared" si="3"/>
        <v>1346500930</v>
      </c>
    </row>
    <row r="239" spans="1:4" ht="14" x14ac:dyDescent="0.15">
      <c r="A239" s="324">
        <v>1346500932</v>
      </c>
      <c r="B239" s="322" t="s">
        <v>2085</v>
      </c>
      <c r="C239">
        <v>1347100932</v>
      </c>
      <c r="D239" t="e">
        <f t="shared" si="3"/>
        <v>#N/A</v>
      </c>
    </row>
    <row r="240" spans="1:4" ht="14" x14ac:dyDescent="0.15">
      <c r="A240" s="322">
        <v>1346600930</v>
      </c>
      <c r="B240" s="322" t="s">
        <v>447</v>
      </c>
      <c r="C240">
        <v>1347100933</v>
      </c>
      <c r="D240">
        <f t="shared" si="3"/>
        <v>1346600930</v>
      </c>
    </row>
    <row r="241" spans="1:4" ht="14" x14ac:dyDescent="0.15">
      <c r="A241" s="322">
        <v>1346600931</v>
      </c>
      <c r="B241" s="322" t="s">
        <v>448</v>
      </c>
      <c r="C241">
        <v>1347100934</v>
      </c>
      <c r="D241">
        <f t="shared" si="3"/>
        <v>1346600931</v>
      </c>
    </row>
    <row r="242" spans="1:4" ht="14" x14ac:dyDescent="0.15">
      <c r="A242" s="322">
        <v>1346600933</v>
      </c>
      <c r="B242" s="322" t="s">
        <v>1479</v>
      </c>
      <c r="C242">
        <v>1347100935</v>
      </c>
      <c r="D242">
        <f t="shared" si="3"/>
        <v>1346600933</v>
      </c>
    </row>
    <row r="243" spans="1:4" ht="14" x14ac:dyDescent="0.15">
      <c r="A243" s="322">
        <v>1346700420</v>
      </c>
      <c r="B243" s="322" t="s">
        <v>303</v>
      </c>
      <c r="C243">
        <v>1347100936</v>
      </c>
      <c r="D243">
        <f t="shared" si="3"/>
        <v>1346700420</v>
      </c>
    </row>
    <row r="244" spans="1:4" ht="14" x14ac:dyDescent="0.15">
      <c r="A244" s="322">
        <v>1346700930</v>
      </c>
      <c r="B244" s="322" t="s">
        <v>449</v>
      </c>
      <c r="C244">
        <v>1347100940</v>
      </c>
      <c r="D244">
        <f t="shared" si="3"/>
        <v>1346700930</v>
      </c>
    </row>
    <row r="245" spans="1:4" ht="14" x14ac:dyDescent="0.15">
      <c r="A245" s="322">
        <v>1346700931</v>
      </c>
      <c r="B245" s="322" t="s">
        <v>1417</v>
      </c>
      <c r="C245">
        <v>1347100952</v>
      </c>
      <c r="D245">
        <f t="shared" si="3"/>
        <v>1346700931</v>
      </c>
    </row>
    <row r="246" spans="1:4" ht="14" x14ac:dyDescent="0.15">
      <c r="A246" s="322">
        <v>1346700933</v>
      </c>
      <c r="B246" s="322" t="s">
        <v>303</v>
      </c>
      <c r="C246">
        <v>1347100953</v>
      </c>
      <c r="D246">
        <f t="shared" si="3"/>
        <v>1346700933</v>
      </c>
    </row>
    <row r="247" spans="1:4" ht="14" x14ac:dyDescent="0.15">
      <c r="A247" s="322">
        <v>1346700934</v>
      </c>
      <c r="B247" s="322" t="s">
        <v>450</v>
      </c>
      <c r="C247">
        <v>1347100954</v>
      </c>
      <c r="D247">
        <f t="shared" si="3"/>
        <v>1346700934</v>
      </c>
    </row>
    <row r="248" spans="1:4" ht="14" x14ac:dyDescent="0.15">
      <c r="A248" s="322">
        <v>1346700935</v>
      </c>
      <c r="B248" s="322" t="s">
        <v>451</v>
      </c>
      <c r="C248">
        <v>1347300930</v>
      </c>
      <c r="D248">
        <f t="shared" si="3"/>
        <v>1346700935</v>
      </c>
    </row>
    <row r="249" spans="1:4" ht="14" x14ac:dyDescent="0.15">
      <c r="A249" s="322">
        <v>1346700936</v>
      </c>
      <c r="B249" s="322" t="s">
        <v>452</v>
      </c>
      <c r="C249">
        <v>1347300936</v>
      </c>
      <c r="D249">
        <f t="shared" si="3"/>
        <v>1346700936</v>
      </c>
    </row>
    <row r="250" spans="1:4" ht="14" x14ac:dyDescent="0.15">
      <c r="A250" s="322">
        <v>1346700938</v>
      </c>
      <c r="B250" s="322" t="s">
        <v>454</v>
      </c>
      <c r="C250">
        <v>1347300937</v>
      </c>
      <c r="D250">
        <f t="shared" si="3"/>
        <v>1346700938</v>
      </c>
    </row>
    <row r="251" spans="1:4" ht="14" x14ac:dyDescent="0.15">
      <c r="A251" s="322">
        <v>1346700939</v>
      </c>
      <c r="B251" s="322" t="s">
        <v>88</v>
      </c>
      <c r="C251">
        <v>1347400931</v>
      </c>
      <c r="D251">
        <f t="shared" si="3"/>
        <v>1346700939</v>
      </c>
    </row>
    <row r="252" spans="1:4" ht="14" x14ac:dyDescent="0.15">
      <c r="A252" s="322">
        <v>1346700950</v>
      </c>
      <c r="B252" s="322" t="s">
        <v>1595</v>
      </c>
      <c r="C252">
        <v>1347400933</v>
      </c>
      <c r="D252">
        <f t="shared" si="3"/>
        <v>1346700950</v>
      </c>
    </row>
    <row r="253" spans="1:4" ht="14" x14ac:dyDescent="0.15">
      <c r="A253" s="322">
        <v>1346800932</v>
      </c>
      <c r="B253" s="322" t="s">
        <v>455</v>
      </c>
      <c r="C253">
        <v>1348200931</v>
      </c>
      <c r="D253">
        <f t="shared" si="3"/>
        <v>1346800932</v>
      </c>
    </row>
    <row r="254" spans="1:4" ht="14" x14ac:dyDescent="0.15">
      <c r="A254" s="322">
        <v>1346800933</v>
      </c>
      <c r="B254" s="322" t="s">
        <v>456</v>
      </c>
      <c r="C254">
        <v>1348200937</v>
      </c>
      <c r="D254">
        <f t="shared" si="3"/>
        <v>1346800933</v>
      </c>
    </row>
    <row r="255" spans="1:4" ht="14" x14ac:dyDescent="0.15">
      <c r="A255" s="322">
        <v>1346800934</v>
      </c>
      <c r="B255" s="322" t="s">
        <v>457</v>
      </c>
      <c r="C255">
        <v>1348200938</v>
      </c>
      <c r="D255">
        <f t="shared" si="3"/>
        <v>1346800934</v>
      </c>
    </row>
    <row r="256" spans="1:4" ht="14" x14ac:dyDescent="0.15">
      <c r="A256" s="322">
        <v>1346800935</v>
      </c>
      <c r="B256" s="322" t="s">
        <v>458</v>
      </c>
      <c r="C256">
        <v>1348300930</v>
      </c>
      <c r="D256" t="e">
        <f t="shared" si="3"/>
        <v>#N/A</v>
      </c>
    </row>
    <row r="257" spans="1:4" ht="14" x14ac:dyDescent="0.15">
      <c r="A257" s="322">
        <v>1346800936</v>
      </c>
      <c r="B257" s="322" t="s">
        <v>459</v>
      </c>
      <c r="C257">
        <v>1348400930</v>
      </c>
      <c r="D257">
        <f t="shared" si="3"/>
        <v>1346800936</v>
      </c>
    </row>
    <row r="258" spans="1:4" ht="14" x14ac:dyDescent="0.15">
      <c r="A258" s="322">
        <v>1346800938</v>
      </c>
      <c r="B258" s="322" t="s">
        <v>1596</v>
      </c>
      <c r="C258">
        <v>1348500932</v>
      </c>
      <c r="D258">
        <f t="shared" si="3"/>
        <v>1346800938</v>
      </c>
    </row>
    <row r="259" spans="1:4" ht="14" x14ac:dyDescent="0.15">
      <c r="A259" s="322">
        <v>1346800940</v>
      </c>
      <c r="B259" s="322" t="s">
        <v>67</v>
      </c>
      <c r="C259">
        <v>1349000422</v>
      </c>
      <c r="D259">
        <f t="shared" si="3"/>
        <v>1346800940</v>
      </c>
    </row>
    <row r="260" spans="1:4" ht="14" x14ac:dyDescent="0.15">
      <c r="A260" s="322">
        <v>1346800941</v>
      </c>
      <c r="B260" s="322" t="s">
        <v>68</v>
      </c>
      <c r="C260">
        <v>1349000930</v>
      </c>
      <c r="D260" t="e">
        <f t="shared" ref="D260:D323" si="4">VLOOKUP(A260,$C$3:$C$1296,1,FALSE)</f>
        <v>#N/A</v>
      </c>
    </row>
    <row r="261" spans="1:4" ht="14" x14ac:dyDescent="0.15">
      <c r="A261" s="324">
        <v>1346800942</v>
      </c>
      <c r="B261" s="322" t="s">
        <v>1955</v>
      </c>
      <c r="C261">
        <v>1349000932</v>
      </c>
      <c r="D261" t="e">
        <f t="shared" si="4"/>
        <v>#N/A</v>
      </c>
    </row>
    <row r="262" spans="1:4" ht="14" x14ac:dyDescent="0.15">
      <c r="A262" s="322">
        <v>1346900420</v>
      </c>
      <c r="B262" s="322" t="s">
        <v>1597</v>
      </c>
      <c r="C262">
        <v>1349000934</v>
      </c>
      <c r="D262">
        <f t="shared" si="4"/>
        <v>1346900420</v>
      </c>
    </row>
    <row r="263" spans="1:4" ht="14" x14ac:dyDescent="0.15">
      <c r="A263" s="322">
        <v>1346900920</v>
      </c>
      <c r="B263" s="322" t="s">
        <v>1597</v>
      </c>
      <c r="C263">
        <v>1349000935</v>
      </c>
      <c r="D263">
        <f t="shared" si="4"/>
        <v>1346900920</v>
      </c>
    </row>
    <row r="264" spans="1:4" ht="14" x14ac:dyDescent="0.15">
      <c r="A264" s="322">
        <v>1347100931</v>
      </c>
      <c r="B264" s="322" t="s">
        <v>461</v>
      </c>
      <c r="C264">
        <v>1349000938</v>
      </c>
      <c r="D264">
        <f t="shared" si="4"/>
        <v>1347100931</v>
      </c>
    </row>
    <row r="265" spans="1:4" ht="14" x14ac:dyDescent="0.15">
      <c r="A265" s="322">
        <v>1347100932</v>
      </c>
      <c r="B265" s="322" t="s">
        <v>1198</v>
      </c>
      <c r="C265">
        <v>1349000941</v>
      </c>
      <c r="D265">
        <f t="shared" si="4"/>
        <v>1347100932</v>
      </c>
    </row>
    <row r="266" spans="1:4" ht="14" x14ac:dyDescent="0.15">
      <c r="A266" s="322">
        <v>1347100933</v>
      </c>
      <c r="B266" s="322" t="s">
        <v>462</v>
      </c>
      <c r="C266">
        <v>1349001931</v>
      </c>
      <c r="D266">
        <f t="shared" si="4"/>
        <v>1347100933</v>
      </c>
    </row>
    <row r="267" spans="1:4" ht="14" x14ac:dyDescent="0.15">
      <c r="A267" s="322">
        <v>1347100934</v>
      </c>
      <c r="B267" s="322" t="s">
        <v>463</v>
      </c>
      <c r="C267">
        <v>1349001937</v>
      </c>
      <c r="D267">
        <f t="shared" si="4"/>
        <v>1347100934</v>
      </c>
    </row>
    <row r="268" spans="1:4" ht="14" x14ac:dyDescent="0.15">
      <c r="A268" s="322">
        <v>1347100935</v>
      </c>
      <c r="B268" s="322" t="s">
        <v>1421</v>
      </c>
      <c r="C268">
        <v>1349001939</v>
      </c>
      <c r="D268">
        <f t="shared" si="4"/>
        <v>1347100935</v>
      </c>
    </row>
    <row r="269" spans="1:4" ht="14" x14ac:dyDescent="0.15">
      <c r="A269" s="322">
        <v>1347100936</v>
      </c>
      <c r="B269" s="322" t="s">
        <v>50</v>
      </c>
      <c r="C269">
        <v>1349002420</v>
      </c>
      <c r="D269">
        <f t="shared" si="4"/>
        <v>1347100936</v>
      </c>
    </row>
    <row r="270" spans="1:4" ht="14" x14ac:dyDescent="0.15">
      <c r="A270" s="322">
        <v>1347100940</v>
      </c>
      <c r="B270" s="322" t="s">
        <v>69</v>
      </c>
      <c r="C270">
        <v>1349002939</v>
      </c>
      <c r="D270">
        <f t="shared" si="4"/>
        <v>1347100940</v>
      </c>
    </row>
    <row r="271" spans="1:4" ht="14" x14ac:dyDescent="0.15">
      <c r="A271" s="322">
        <v>1347100952</v>
      </c>
      <c r="B271" s="322" t="s">
        <v>1957</v>
      </c>
      <c r="C271">
        <v>1349300930</v>
      </c>
      <c r="D271">
        <f t="shared" si="4"/>
        <v>1347100952</v>
      </c>
    </row>
    <row r="272" spans="1:4" ht="14" x14ac:dyDescent="0.15">
      <c r="A272" s="322">
        <v>1347100953</v>
      </c>
      <c r="B272" s="322" t="s">
        <v>1958</v>
      </c>
      <c r="C272">
        <v>1349300931</v>
      </c>
      <c r="D272">
        <f t="shared" si="4"/>
        <v>1347100953</v>
      </c>
    </row>
    <row r="273" spans="1:4" ht="14" x14ac:dyDescent="0.15">
      <c r="A273" s="322">
        <v>1347100954</v>
      </c>
      <c r="B273" s="322" t="s">
        <v>1959</v>
      </c>
      <c r="D273">
        <f t="shared" si="4"/>
        <v>1347100954</v>
      </c>
    </row>
    <row r="274" spans="1:4" ht="14" x14ac:dyDescent="0.15">
      <c r="A274" s="324">
        <v>1347110930</v>
      </c>
      <c r="B274" s="322" t="s">
        <v>464</v>
      </c>
      <c r="C274" s="182"/>
      <c r="D274" t="e">
        <f t="shared" si="4"/>
        <v>#N/A</v>
      </c>
    </row>
    <row r="275" spans="1:4" ht="14" x14ac:dyDescent="0.15">
      <c r="A275" s="322">
        <v>1347140931</v>
      </c>
      <c r="B275" s="322" t="s">
        <v>1145</v>
      </c>
      <c r="C275" s="182">
        <v>1360000410</v>
      </c>
      <c r="D275" t="e">
        <f t="shared" si="4"/>
        <v>#N/A</v>
      </c>
    </row>
    <row r="276" spans="1:4" ht="14" x14ac:dyDescent="0.15">
      <c r="A276" s="322">
        <v>1347300930</v>
      </c>
      <c r="B276" s="322" t="s">
        <v>466</v>
      </c>
      <c r="C276" s="182"/>
      <c r="D276">
        <f t="shared" si="4"/>
        <v>1347300930</v>
      </c>
    </row>
    <row r="277" spans="1:4" ht="14" x14ac:dyDescent="0.15">
      <c r="A277" s="322">
        <v>1347300936</v>
      </c>
      <c r="B277" s="322" t="s">
        <v>1425</v>
      </c>
      <c r="C277" s="182"/>
      <c r="D277">
        <f t="shared" si="4"/>
        <v>1347300936</v>
      </c>
    </row>
    <row r="278" spans="1:4" ht="14" x14ac:dyDescent="0.15">
      <c r="A278" s="322">
        <v>1347300937</v>
      </c>
      <c r="B278" s="322" t="s">
        <v>96</v>
      </c>
      <c r="C278" s="182"/>
      <c r="D278">
        <f t="shared" si="4"/>
        <v>1347300937</v>
      </c>
    </row>
    <row r="279" spans="1:4" ht="14" x14ac:dyDescent="0.15">
      <c r="A279" s="322">
        <v>1347300938</v>
      </c>
      <c r="B279" s="322" t="s">
        <v>1478</v>
      </c>
      <c r="C279" s="182"/>
      <c r="D279" t="e">
        <f t="shared" si="4"/>
        <v>#N/A</v>
      </c>
    </row>
    <row r="280" spans="1:4" ht="14" x14ac:dyDescent="0.15">
      <c r="A280" s="322">
        <v>1347400931</v>
      </c>
      <c r="B280" s="322" t="s">
        <v>470</v>
      </c>
      <c r="C280">
        <v>1413100211</v>
      </c>
      <c r="D280">
        <f t="shared" si="4"/>
        <v>1347400931</v>
      </c>
    </row>
    <row r="281" spans="1:4" ht="14" x14ac:dyDescent="0.15">
      <c r="A281" s="322">
        <v>1347400933</v>
      </c>
      <c r="B281" s="322" t="s">
        <v>471</v>
      </c>
      <c r="C281">
        <v>1413100212</v>
      </c>
      <c r="D281">
        <f t="shared" si="4"/>
        <v>1347400933</v>
      </c>
    </row>
    <row r="282" spans="1:4" ht="14" x14ac:dyDescent="0.15">
      <c r="A282" s="322">
        <v>1347400935</v>
      </c>
      <c r="B282" s="322" t="s">
        <v>473</v>
      </c>
      <c r="C282">
        <v>1413100216</v>
      </c>
      <c r="D282" t="e">
        <f t="shared" si="4"/>
        <v>#N/A</v>
      </c>
    </row>
    <row r="283" spans="1:4" ht="14" x14ac:dyDescent="0.15">
      <c r="A283" s="324">
        <v>1347400936</v>
      </c>
      <c r="B283" s="322" t="s">
        <v>2027</v>
      </c>
      <c r="C283">
        <v>1413100217</v>
      </c>
      <c r="D283" t="e">
        <f t="shared" si="4"/>
        <v>#N/A</v>
      </c>
    </row>
    <row r="284" spans="1:4" ht="14" x14ac:dyDescent="0.15">
      <c r="A284" s="322">
        <v>1348200931</v>
      </c>
      <c r="B284" s="322" t="s">
        <v>474</v>
      </c>
      <c r="C284">
        <v>1413100221</v>
      </c>
      <c r="D284">
        <f t="shared" si="4"/>
        <v>1348200931</v>
      </c>
    </row>
    <row r="285" spans="1:4" ht="14" x14ac:dyDescent="0.15">
      <c r="A285" s="322">
        <v>1348200936</v>
      </c>
      <c r="B285" s="322" t="s">
        <v>1431</v>
      </c>
      <c r="C285">
        <v>1413200220</v>
      </c>
      <c r="D285" t="e">
        <f t="shared" si="4"/>
        <v>#N/A</v>
      </c>
    </row>
    <row r="286" spans="1:4" ht="14" x14ac:dyDescent="0.15">
      <c r="A286" s="322">
        <v>1348200937</v>
      </c>
      <c r="B286" s="322" t="s">
        <v>1365</v>
      </c>
      <c r="C286" s="182"/>
      <c r="D286">
        <f t="shared" si="4"/>
        <v>1348200937</v>
      </c>
    </row>
    <row r="287" spans="1:4" ht="14" x14ac:dyDescent="0.15">
      <c r="A287" s="322">
        <v>1348200938</v>
      </c>
      <c r="B287" s="322" t="s">
        <v>1731</v>
      </c>
      <c r="C287">
        <v>1433000215</v>
      </c>
      <c r="D287">
        <f t="shared" si="4"/>
        <v>1348200938</v>
      </c>
    </row>
    <row r="288" spans="1:4" ht="14" x14ac:dyDescent="0.15">
      <c r="A288" s="322">
        <v>1348300930</v>
      </c>
      <c r="B288" s="322" t="s">
        <v>475</v>
      </c>
      <c r="C288">
        <v>1433000641</v>
      </c>
      <c r="D288">
        <f t="shared" si="4"/>
        <v>1348300930</v>
      </c>
    </row>
    <row r="289" spans="1:4" ht="14" x14ac:dyDescent="0.15">
      <c r="A289" s="324">
        <v>1348300932</v>
      </c>
      <c r="B289" s="322" t="s">
        <v>2086</v>
      </c>
      <c r="C289">
        <v>1433000642</v>
      </c>
      <c r="D289" t="e">
        <f t="shared" si="4"/>
        <v>#N/A</v>
      </c>
    </row>
    <row r="290" spans="1:4" ht="14" x14ac:dyDescent="0.15">
      <c r="A290" s="322">
        <v>1348400930</v>
      </c>
      <c r="B290" s="322" t="s">
        <v>476</v>
      </c>
      <c r="C290">
        <v>1433000644</v>
      </c>
      <c r="D290">
        <f t="shared" si="4"/>
        <v>1348400930</v>
      </c>
    </row>
    <row r="291" spans="1:4" ht="14" x14ac:dyDescent="0.15">
      <c r="A291" s="322">
        <v>1348500932</v>
      </c>
      <c r="B291" s="322" t="s">
        <v>477</v>
      </c>
      <c r="C291">
        <v>1437000215</v>
      </c>
      <c r="D291">
        <f t="shared" si="4"/>
        <v>1348500932</v>
      </c>
    </row>
    <row r="292" spans="1:4" ht="14" x14ac:dyDescent="0.15">
      <c r="A292" s="322">
        <v>1349000422</v>
      </c>
      <c r="B292" s="322" t="s">
        <v>1200</v>
      </c>
      <c r="C292">
        <v>1437000640</v>
      </c>
      <c r="D292">
        <f t="shared" si="4"/>
        <v>1349000422</v>
      </c>
    </row>
    <row r="293" spans="1:4" ht="14" x14ac:dyDescent="0.15">
      <c r="A293" s="322">
        <v>1349000930</v>
      </c>
      <c r="B293" s="322" t="s">
        <v>478</v>
      </c>
      <c r="C293">
        <v>1439000690</v>
      </c>
      <c r="D293">
        <f t="shared" si="4"/>
        <v>1349000930</v>
      </c>
    </row>
    <row r="294" spans="1:4" ht="14" x14ac:dyDescent="0.15">
      <c r="A294" s="322">
        <v>1349000931</v>
      </c>
      <c r="B294" s="322" t="s">
        <v>479</v>
      </c>
      <c r="C294" s="182"/>
      <c r="D294" t="e">
        <f t="shared" si="4"/>
        <v>#N/A</v>
      </c>
    </row>
    <row r="295" spans="1:4" ht="14" x14ac:dyDescent="0.15">
      <c r="A295" s="322">
        <v>1349000932</v>
      </c>
      <c r="B295" s="322" t="s">
        <v>480</v>
      </c>
      <c r="C295">
        <v>1443100220</v>
      </c>
      <c r="D295">
        <f t="shared" si="4"/>
        <v>1349000932</v>
      </c>
    </row>
    <row r="296" spans="1:4" ht="14" x14ac:dyDescent="0.15">
      <c r="A296" s="322">
        <v>1349000933</v>
      </c>
      <c r="B296" s="322" t="s">
        <v>481</v>
      </c>
      <c r="C296">
        <v>1443100290</v>
      </c>
      <c r="D296" t="e">
        <f t="shared" si="4"/>
        <v>#N/A</v>
      </c>
    </row>
    <row r="297" spans="1:4" ht="14" x14ac:dyDescent="0.15">
      <c r="A297" s="322">
        <v>1349000934</v>
      </c>
      <c r="B297" s="322" t="s">
        <v>482</v>
      </c>
      <c r="C297">
        <v>1443100291</v>
      </c>
      <c r="D297">
        <f t="shared" si="4"/>
        <v>1349000934</v>
      </c>
    </row>
    <row r="298" spans="1:4" ht="14" x14ac:dyDescent="0.15">
      <c r="A298" s="322">
        <v>1349000935</v>
      </c>
      <c r="B298" s="322" t="s">
        <v>483</v>
      </c>
      <c r="C298">
        <v>1443100292</v>
      </c>
      <c r="D298">
        <f t="shared" si="4"/>
        <v>1349000935</v>
      </c>
    </row>
    <row r="299" spans="1:4" ht="14" x14ac:dyDescent="0.15">
      <c r="A299" s="322">
        <v>1349000938</v>
      </c>
      <c r="B299" s="322" t="s">
        <v>484</v>
      </c>
      <c r="C299">
        <v>1443100293</v>
      </c>
      <c r="D299">
        <f t="shared" si="4"/>
        <v>1349000938</v>
      </c>
    </row>
    <row r="300" spans="1:4" ht="14" x14ac:dyDescent="0.15">
      <c r="A300" s="322">
        <v>1349000941</v>
      </c>
      <c r="B300" s="322" t="s">
        <v>70</v>
      </c>
      <c r="C300">
        <v>1443100295</v>
      </c>
      <c r="D300">
        <f t="shared" si="4"/>
        <v>1349000941</v>
      </c>
    </row>
    <row r="301" spans="1:4" ht="14" x14ac:dyDescent="0.15">
      <c r="A301" s="324">
        <v>1349000952</v>
      </c>
      <c r="B301" s="322" t="s">
        <v>2087</v>
      </c>
      <c r="C301">
        <v>1443100296</v>
      </c>
      <c r="D301" t="e">
        <f t="shared" si="4"/>
        <v>#N/A</v>
      </c>
    </row>
    <row r="302" spans="1:4" ht="14" x14ac:dyDescent="0.15">
      <c r="A302" s="322">
        <v>1349001931</v>
      </c>
      <c r="B302" s="322" t="s">
        <v>1366</v>
      </c>
      <c r="C302">
        <v>1443100297</v>
      </c>
      <c r="D302">
        <f t="shared" si="4"/>
        <v>1349001931</v>
      </c>
    </row>
    <row r="303" spans="1:4" ht="14" x14ac:dyDescent="0.15">
      <c r="A303" s="322">
        <v>1349001937</v>
      </c>
      <c r="B303" s="322" t="s">
        <v>486</v>
      </c>
      <c r="C303">
        <v>1444000490</v>
      </c>
      <c r="D303">
        <f t="shared" si="4"/>
        <v>1349001937</v>
      </c>
    </row>
    <row r="304" spans="1:4" ht="14" x14ac:dyDescent="0.15">
      <c r="A304" s="322">
        <v>1349001939</v>
      </c>
      <c r="B304" s="322" t="s">
        <v>487</v>
      </c>
      <c r="C304" s="182"/>
      <c r="D304">
        <f t="shared" si="4"/>
        <v>1349001939</v>
      </c>
    </row>
    <row r="305" spans="1:4" ht="14" x14ac:dyDescent="0.15">
      <c r="A305" s="322">
        <v>1349002420</v>
      </c>
      <c r="B305" s="322" t="s">
        <v>1201</v>
      </c>
      <c r="C305">
        <v>1472000212</v>
      </c>
      <c r="D305">
        <f t="shared" si="4"/>
        <v>1349002420</v>
      </c>
    </row>
    <row r="306" spans="1:4" ht="14" x14ac:dyDescent="0.15">
      <c r="A306" s="322">
        <v>1349002939</v>
      </c>
      <c r="B306" s="322" t="s">
        <v>488</v>
      </c>
      <c r="C306">
        <v>1472000213</v>
      </c>
      <c r="D306">
        <f t="shared" si="4"/>
        <v>1349002939</v>
      </c>
    </row>
    <row r="307" spans="1:4" ht="14" x14ac:dyDescent="0.15">
      <c r="A307" s="322">
        <v>1349300930</v>
      </c>
      <c r="B307" s="322" t="s">
        <v>1439</v>
      </c>
      <c r="C307">
        <v>1472000215</v>
      </c>
      <c r="D307">
        <f t="shared" si="4"/>
        <v>1349300930</v>
      </c>
    </row>
    <row r="308" spans="1:4" ht="14" x14ac:dyDescent="0.15">
      <c r="A308" s="322">
        <v>1349300931</v>
      </c>
      <c r="B308" s="322" t="s">
        <v>1598</v>
      </c>
      <c r="C308" s="182"/>
      <c r="D308">
        <f t="shared" si="4"/>
        <v>1349300931</v>
      </c>
    </row>
    <row r="309" spans="1:4" ht="14" x14ac:dyDescent="0.15">
      <c r="A309" s="322">
        <v>1360000410</v>
      </c>
      <c r="B309" s="322" t="s">
        <v>342</v>
      </c>
      <c r="C309" s="182"/>
      <c r="D309">
        <f t="shared" si="4"/>
        <v>1360000410</v>
      </c>
    </row>
    <row r="310" spans="1:4" ht="14" x14ac:dyDescent="0.15">
      <c r="A310" s="322">
        <v>1413100211</v>
      </c>
      <c r="B310" s="322" t="s">
        <v>1440</v>
      </c>
      <c r="C310" s="182"/>
      <c r="D310">
        <f t="shared" si="4"/>
        <v>1413100211</v>
      </c>
    </row>
    <row r="311" spans="1:4" ht="14" x14ac:dyDescent="0.15">
      <c r="A311" s="322">
        <v>1413100212</v>
      </c>
      <c r="B311" s="322" t="s">
        <v>280</v>
      </c>
      <c r="C311">
        <v>1570000920</v>
      </c>
      <c r="D311">
        <f t="shared" si="4"/>
        <v>1413100212</v>
      </c>
    </row>
    <row r="312" spans="1:4" ht="14" x14ac:dyDescent="0.15">
      <c r="A312" s="324">
        <v>1413100215</v>
      </c>
      <c r="B312" s="322" t="s">
        <v>1443</v>
      </c>
      <c r="C312" s="182"/>
      <c r="D312" t="e">
        <f t="shared" si="4"/>
        <v>#N/A</v>
      </c>
    </row>
    <row r="313" spans="1:4" ht="14" x14ac:dyDescent="0.15">
      <c r="A313" s="322">
        <v>1413100216</v>
      </c>
      <c r="B313" s="322" t="s">
        <v>1444</v>
      </c>
      <c r="C313">
        <v>1594000590</v>
      </c>
      <c r="D313">
        <f t="shared" si="4"/>
        <v>1413100216</v>
      </c>
    </row>
    <row r="314" spans="1:4" ht="14" x14ac:dyDescent="0.15">
      <c r="A314" s="322">
        <v>1413100217</v>
      </c>
      <c r="B314" s="322" t="s">
        <v>1445</v>
      </c>
      <c r="C314">
        <v>1594100590</v>
      </c>
      <c r="D314">
        <f t="shared" si="4"/>
        <v>1413100217</v>
      </c>
    </row>
    <row r="315" spans="1:4" ht="14" x14ac:dyDescent="0.15">
      <c r="A315" s="322">
        <v>1413100221</v>
      </c>
      <c r="B315" s="322" t="s">
        <v>343</v>
      </c>
      <c r="C315" s="182"/>
      <c r="D315">
        <f t="shared" si="4"/>
        <v>1413100221</v>
      </c>
    </row>
    <row r="316" spans="1:4" ht="14" x14ac:dyDescent="0.15">
      <c r="A316" s="322">
        <v>1413200220</v>
      </c>
      <c r="B316" s="322" t="s">
        <v>1</v>
      </c>
      <c r="C316" s="182"/>
      <c r="D316">
        <f t="shared" si="4"/>
        <v>1413200220</v>
      </c>
    </row>
    <row r="317" spans="1:4" ht="14" x14ac:dyDescent="0.15">
      <c r="A317" s="322">
        <v>1433000215</v>
      </c>
      <c r="B317" s="322" t="s">
        <v>344</v>
      </c>
      <c r="C317" s="182"/>
      <c r="D317">
        <f t="shared" si="4"/>
        <v>1433000215</v>
      </c>
    </row>
    <row r="318" spans="1:4" ht="14" x14ac:dyDescent="0.15">
      <c r="A318" s="322">
        <v>1433000641</v>
      </c>
      <c r="B318" s="322" t="s">
        <v>345</v>
      </c>
      <c r="C318" s="182"/>
      <c r="D318">
        <f t="shared" si="4"/>
        <v>1433000641</v>
      </c>
    </row>
    <row r="319" spans="1:4" ht="14" x14ac:dyDescent="0.15">
      <c r="A319" s="322">
        <v>1433000642</v>
      </c>
      <c r="B319" s="322" t="s">
        <v>346</v>
      </c>
      <c r="C319" s="182"/>
      <c r="D319">
        <f t="shared" si="4"/>
        <v>1433000642</v>
      </c>
    </row>
    <row r="320" spans="1:4" ht="14" x14ac:dyDescent="0.15">
      <c r="A320" s="322">
        <v>1433000644</v>
      </c>
      <c r="B320" s="322" t="s">
        <v>347</v>
      </c>
      <c r="C320" s="182"/>
      <c r="D320">
        <f t="shared" si="4"/>
        <v>1433000644</v>
      </c>
    </row>
    <row r="321" spans="1:4" ht="14" x14ac:dyDescent="0.15">
      <c r="A321" s="322">
        <v>1437000215</v>
      </c>
      <c r="B321" s="322" t="s">
        <v>348</v>
      </c>
      <c r="C321">
        <v>1610000981</v>
      </c>
      <c r="D321">
        <f t="shared" si="4"/>
        <v>1437000215</v>
      </c>
    </row>
    <row r="322" spans="1:4" ht="14" x14ac:dyDescent="0.15">
      <c r="A322" s="322">
        <v>1437000640</v>
      </c>
      <c r="B322" s="322" t="s">
        <v>245</v>
      </c>
      <c r="C322">
        <v>1611000110</v>
      </c>
      <c r="D322">
        <f t="shared" si="4"/>
        <v>1437000640</v>
      </c>
    </row>
    <row r="323" spans="1:4" ht="14" x14ac:dyDescent="0.15">
      <c r="A323" s="324">
        <v>1437000642</v>
      </c>
      <c r="B323" s="322" t="s">
        <v>2088</v>
      </c>
      <c r="C323">
        <v>1611000210</v>
      </c>
      <c r="D323" t="e">
        <f t="shared" si="4"/>
        <v>#N/A</v>
      </c>
    </row>
    <row r="324" spans="1:4" ht="14" x14ac:dyDescent="0.15">
      <c r="A324" s="322">
        <v>1439000690</v>
      </c>
      <c r="B324" s="322" t="s">
        <v>6</v>
      </c>
      <c r="C324">
        <v>1611000511</v>
      </c>
      <c r="D324">
        <f t="shared" ref="D324:D387" si="5">VLOOKUP(A324,$C$3:$C$1296,1,FALSE)</f>
        <v>1439000690</v>
      </c>
    </row>
    <row r="325" spans="1:4" ht="14" x14ac:dyDescent="0.15">
      <c r="A325" s="322">
        <v>1443100220</v>
      </c>
      <c r="B325" s="322" t="s">
        <v>2089</v>
      </c>
      <c r="C325">
        <v>1611000512</v>
      </c>
      <c r="D325">
        <f t="shared" si="5"/>
        <v>1443100220</v>
      </c>
    </row>
    <row r="326" spans="1:4" ht="14" x14ac:dyDescent="0.15">
      <c r="A326" s="322">
        <v>1443100290</v>
      </c>
      <c r="B326" s="322" t="s">
        <v>2057</v>
      </c>
      <c r="C326">
        <v>1611000514</v>
      </c>
      <c r="D326">
        <f t="shared" si="5"/>
        <v>1443100290</v>
      </c>
    </row>
    <row r="327" spans="1:4" ht="14" x14ac:dyDescent="0.15">
      <c r="A327" s="322">
        <v>1443100291</v>
      </c>
      <c r="B327" s="322" t="s">
        <v>1599</v>
      </c>
      <c r="C327">
        <v>1611000521</v>
      </c>
      <c r="D327">
        <f t="shared" si="5"/>
        <v>1443100291</v>
      </c>
    </row>
    <row r="328" spans="1:4" ht="14" x14ac:dyDescent="0.15">
      <c r="A328" s="322">
        <v>1443100292</v>
      </c>
      <c r="B328" s="322" t="s">
        <v>353</v>
      </c>
      <c r="C328">
        <v>1611000522</v>
      </c>
      <c r="D328">
        <f t="shared" si="5"/>
        <v>1443100292</v>
      </c>
    </row>
    <row r="329" spans="1:4" ht="14" x14ac:dyDescent="0.15">
      <c r="A329" s="322">
        <v>1443100293</v>
      </c>
      <c r="B329" s="322" t="s">
        <v>354</v>
      </c>
      <c r="C329">
        <v>1611000523</v>
      </c>
      <c r="D329">
        <f t="shared" si="5"/>
        <v>1443100293</v>
      </c>
    </row>
    <row r="330" spans="1:4" ht="14" x14ac:dyDescent="0.15">
      <c r="A330" s="322">
        <v>1443100295</v>
      </c>
      <c r="B330" s="322" t="s">
        <v>1162</v>
      </c>
      <c r="C330">
        <v>1611000560</v>
      </c>
      <c r="D330">
        <f t="shared" si="5"/>
        <v>1443100295</v>
      </c>
    </row>
    <row r="331" spans="1:4" ht="14" x14ac:dyDescent="0.15">
      <c r="A331" s="322">
        <v>1443100296</v>
      </c>
      <c r="B331" s="322" t="s">
        <v>1535</v>
      </c>
      <c r="C331">
        <v>1611000580</v>
      </c>
      <c r="D331">
        <f t="shared" si="5"/>
        <v>1443100296</v>
      </c>
    </row>
    <row r="332" spans="1:4" ht="14" x14ac:dyDescent="0.15">
      <c r="A332" s="322">
        <v>1443100297</v>
      </c>
      <c r="B332" s="322" t="s">
        <v>1534</v>
      </c>
      <c r="C332">
        <v>1611000581</v>
      </c>
      <c r="D332">
        <f t="shared" si="5"/>
        <v>1443100297</v>
      </c>
    </row>
    <row r="333" spans="1:4" ht="14" x14ac:dyDescent="0.15">
      <c r="A333" s="322">
        <v>1444000490</v>
      </c>
      <c r="B333" s="322" t="s">
        <v>356</v>
      </c>
      <c r="C333">
        <v>1611000760</v>
      </c>
      <c r="D333">
        <f t="shared" si="5"/>
        <v>1444000490</v>
      </c>
    </row>
    <row r="334" spans="1:4" ht="14" x14ac:dyDescent="0.15">
      <c r="A334" s="322">
        <v>1472000212</v>
      </c>
      <c r="B334" s="322" t="s">
        <v>357</v>
      </c>
      <c r="C334">
        <v>1611000780</v>
      </c>
      <c r="D334">
        <f t="shared" si="5"/>
        <v>1472000212</v>
      </c>
    </row>
    <row r="335" spans="1:4" ht="14" x14ac:dyDescent="0.15">
      <c r="A335" s="322">
        <v>1472000213</v>
      </c>
      <c r="B335" s="322" t="s">
        <v>358</v>
      </c>
      <c r="C335">
        <v>1611000930</v>
      </c>
      <c r="D335">
        <f t="shared" si="5"/>
        <v>1472000213</v>
      </c>
    </row>
    <row r="336" spans="1:4" ht="14" x14ac:dyDescent="0.15">
      <c r="A336" s="322">
        <v>1472000215</v>
      </c>
      <c r="B336" s="322" t="s">
        <v>359</v>
      </c>
      <c r="C336">
        <v>1611000970</v>
      </c>
      <c r="D336">
        <f t="shared" si="5"/>
        <v>1472000215</v>
      </c>
    </row>
    <row r="337" spans="1:4" ht="14" x14ac:dyDescent="0.15">
      <c r="A337" s="322">
        <v>1570000920</v>
      </c>
      <c r="B337" s="322" t="s">
        <v>71</v>
      </c>
      <c r="C337">
        <v>1611000980</v>
      </c>
      <c r="D337">
        <f t="shared" si="5"/>
        <v>1570000920</v>
      </c>
    </row>
    <row r="338" spans="1:4" ht="14" x14ac:dyDescent="0.15">
      <c r="A338" s="322">
        <v>1594000590</v>
      </c>
      <c r="B338" s="322" t="s">
        <v>1212</v>
      </c>
      <c r="C338">
        <v>1611000981</v>
      </c>
      <c r="D338">
        <f t="shared" si="5"/>
        <v>1594000590</v>
      </c>
    </row>
    <row r="339" spans="1:4" ht="14" x14ac:dyDescent="0.15">
      <c r="A339" s="322">
        <v>1594000591</v>
      </c>
      <c r="B339" s="322" t="s">
        <v>10</v>
      </c>
      <c r="C339">
        <v>1611001530</v>
      </c>
      <c r="D339" t="e">
        <f t="shared" si="5"/>
        <v>#N/A</v>
      </c>
    </row>
    <row r="340" spans="1:4" ht="14" x14ac:dyDescent="0.15">
      <c r="A340" s="322">
        <v>1594100590</v>
      </c>
      <c r="B340" s="322" t="s">
        <v>1213</v>
      </c>
      <c r="C340">
        <v>1611002731</v>
      </c>
      <c r="D340">
        <f t="shared" si="5"/>
        <v>1594100590</v>
      </c>
    </row>
    <row r="341" spans="1:4" ht="14" x14ac:dyDescent="0.15">
      <c r="A341" s="324">
        <v>1599000980</v>
      </c>
      <c r="B341" s="322" t="s">
        <v>1214</v>
      </c>
      <c r="C341">
        <v>1611100110</v>
      </c>
      <c r="D341" t="e">
        <f t="shared" si="5"/>
        <v>#N/A</v>
      </c>
    </row>
    <row r="342" spans="1:4" ht="14" x14ac:dyDescent="0.15">
      <c r="A342" s="323"/>
      <c r="B342" s="323" t="s">
        <v>2090</v>
      </c>
      <c r="C342">
        <v>1611100441</v>
      </c>
      <c r="D342" t="e">
        <f t="shared" si="5"/>
        <v>#N/A</v>
      </c>
    </row>
    <row r="343" spans="1:4" ht="14" x14ac:dyDescent="0.15">
      <c r="A343" s="322">
        <v>1610000981</v>
      </c>
      <c r="B343" s="322" t="s">
        <v>73</v>
      </c>
      <c r="C343">
        <v>1611100530</v>
      </c>
      <c r="D343">
        <f t="shared" si="5"/>
        <v>1610000981</v>
      </c>
    </row>
    <row r="344" spans="1:4" ht="14" x14ac:dyDescent="0.15">
      <c r="A344" s="322">
        <v>1611000110</v>
      </c>
      <c r="B344" s="322" t="s">
        <v>511</v>
      </c>
      <c r="C344">
        <v>1611120530</v>
      </c>
      <c r="D344">
        <f t="shared" si="5"/>
        <v>1611000110</v>
      </c>
    </row>
    <row r="345" spans="1:4" ht="14" x14ac:dyDescent="0.15">
      <c r="A345" s="322">
        <v>1611000210</v>
      </c>
      <c r="B345" s="322" t="s">
        <v>246</v>
      </c>
      <c r="C345">
        <v>1612000110</v>
      </c>
      <c r="D345">
        <f t="shared" si="5"/>
        <v>1611000210</v>
      </c>
    </row>
    <row r="346" spans="1:4" ht="14" x14ac:dyDescent="0.15">
      <c r="A346" s="322">
        <v>1611000511</v>
      </c>
      <c r="B346" s="322" t="s">
        <v>544</v>
      </c>
      <c r="C346">
        <v>1612000440</v>
      </c>
      <c r="D346">
        <f t="shared" si="5"/>
        <v>1611000511</v>
      </c>
    </row>
    <row r="347" spans="1:4" ht="14" x14ac:dyDescent="0.15">
      <c r="A347" s="322">
        <v>1611000512</v>
      </c>
      <c r="B347" s="322" t="s">
        <v>545</v>
      </c>
      <c r="C347">
        <v>1612000511</v>
      </c>
      <c r="D347">
        <f t="shared" si="5"/>
        <v>1611000512</v>
      </c>
    </row>
    <row r="348" spans="1:4" ht="14" x14ac:dyDescent="0.15">
      <c r="A348" s="322">
        <v>1611000514</v>
      </c>
      <c r="B348" s="322" t="s">
        <v>546</v>
      </c>
      <c r="C348">
        <v>1612000521</v>
      </c>
      <c r="D348">
        <f t="shared" si="5"/>
        <v>1611000514</v>
      </c>
    </row>
    <row r="349" spans="1:4" ht="14" x14ac:dyDescent="0.15">
      <c r="A349" s="322">
        <v>1611000521</v>
      </c>
      <c r="B349" s="322" t="s">
        <v>547</v>
      </c>
      <c r="C349">
        <v>1612000522</v>
      </c>
      <c r="D349">
        <f t="shared" si="5"/>
        <v>1611000521</v>
      </c>
    </row>
    <row r="350" spans="1:4" ht="14" x14ac:dyDescent="0.15">
      <c r="A350" s="322">
        <v>1611000522</v>
      </c>
      <c r="B350" s="322" t="s">
        <v>548</v>
      </c>
      <c r="C350">
        <v>1612000523</v>
      </c>
      <c r="D350">
        <f t="shared" si="5"/>
        <v>1611000522</v>
      </c>
    </row>
    <row r="351" spans="1:4" ht="14" x14ac:dyDescent="0.15">
      <c r="A351" s="322">
        <v>1611000523</v>
      </c>
      <c r="B351" s="322" t="s">
        <v>549</v>
      </c>
      <c r="C351">
        <v>1612000530</v>
      </c>
      <c r="D351">
        <f t="shared" si="5"/>
        <v>1611000523</v>
      </c>
    </row>
    <row r="352" spans="1:4" ht="14" x14ac:dyDescent="0.15">
      <c r="A352" s="322">
        <v>1611000530</v>
      </c>
      <c r="B352" s="322" t="s">
        <v>13</v>
      </c>
      <c r="C352">
        <v>1612000560</v>
      </c>
      <c r="D352" t="e">
        <f t="shared" si="5"/>
        <v>#N/A</v>
      </c>
    </row>
    <row r="353" spans="1:4" ht="14" x14ac:dyDescent="0.15">
      <c r="A353" s="322">
        <v>1611000560</v>
      </c>
      <c r="B353" s="322" t="s">
        <v>550</v>
      </c>
      <c r="C353">
        <v>1612000581</v>
      </c>
      <c r="D353">
        <f t="shared" si="5"/>
        <v>1611000560</v>
      </c>
    </row>
    <row r="354" spans="1:4" ht="14" x14ac:dyDescent="0.15">
      <c r="A354" s="322">
        <v>1611000580</v>
      </c>
      <c r="B354" s="322" t="s">
        <v>551</v>
      </c>
      <c r="C354">
        <v>1612000780</v>
      </c>
      <c r="D354">
        <f t="shared" si="5"/>
        <v>1611000580</v>
      </c>
    </row>
    <row r="355" spans="1:4" ht="14" x14ac:dyDescent="0.15">
      <c r="A355" s="322">
        <v>1611000581</v>
      </c>
      <c r="B355" s="322" t="s">
        <v>1741</v>
      </c>
      <c r="C355">
        <v>1613000110</v>
      </c>
      <c r="D355">
        <f t="shared" si="5"/>
        <v>1611000581</v>
      </c>
    </row>
    <row r="356" spans="1:4" ht="14" x14ac:dyDescent="0.15">
      <c r="A356" s="322">
        <v>1611000760</v>
      </c>
      <c r="B356" s="322" t="s">
        <v>552</v>
      </c>
      <c r="C356">
        <v>1613000440</v>
      </c>
      <c r="D356">
        <f t="shared" si="5"/>
        <v>1611000760</v>
      </c>
    </row>
    <row r="357" spans="1:4" ht="14" x14ac:dyDescent="0.15">
      <c r="A357" s="322">
        <v>1611000780</v>
      </c>
      <c r="B357" s="322" t="s">
        <v>553</v>
      </c>
      <c r="C357">
        <v>1613000511</v>
      </c>
      <c r="D357">
        <f t="shared" si="5"/>
        <v>1611000780</v>
      </c>
    </row>
    <row r="358" spans="1:4" ht="14" x14ac:dyDescent="0.15">
      <c r="A358" s="322">
        <v>1611000930</v>
      </c>
      <c r="B358" s="322" t="s">
        <v>554</v>
      </c>
      <c r="C358">
        <v>1613000512</v>
      </c>
      <c r="D358">
        <f t="shared" si="5"/>
        <v>1611000930</v>
      </c>
    </row>
    <row r="359" spans="1:4" ht="14" x14ac:dyDescent="0.15">
      <c r="A359" s="322">
        <v>1611000970</v>
      </c>
      <c r="B359" s="322" t="s">
        <v>555</v>
      </c>
      <c r="C359">
        <v>1613000520</v>
      </c>
      <c r="D359">
        <f t="shared" si="5"/>
        <v>1611000970</v>
      </c>
    </row>
    <row r="360" spans="1:4" ht="14" x14ac:dyDescent="0.15">
      <c r="A360" s="322">
        <v>1611000980</v>
      </c>
      <c r="B360" s="322" t="s">
        <v>556</v>
      </c>
      <c r="C360">
        <v>1613000521</v>
      </c>
      <c r="D360">
        <f t="shared" si="5"/>
        <v>1611000980</v>
      </c>
    </row>
    <row r="361" spans="1:4" ht="14" x14ac:dyDescent="0.15">
      <c r="A361" s="322">
        <v>1611000981</v>
      </c>
      <c r="B361" s="322" t="s">
        <v>1577</v>
      </c>
      <c r="C361">
        <v>1613000522</v>
      </c>
      <c r="D361">
        <f t="shared" si="5"/>
        <v>1611000981</v>
      </c>
    </row>
    <row r="362" spans="1:4" ht="14" x14ac:dyDescent="0.15">
      <c r="A362" s="322">
        <v>1611001530</v>
      </c>
      <c r="B362" s="322" t="s">
        <v>2091</v>
      </c>
      <c r="C362">
        <v>1613000523</v>
      </c>
      <c r="D362">
        <f t="shared" si="5"/>
        <v>1611001530</v>
      </c>
    </row>
    <row r="363" spans="1:4" ht="14" x14ac:dyDescent="0.15">
      <c r="A363" s="322">
        <v>1611001731</v>
      </c>
      <c r="B363" s="322" t="s">
        <v>1533</v>
      </c>
      <c r="C363">
        <v>1613000530</v>
      </c>
      <c r="D363" t="e">
        <f t="shared" si="5"/>
        <v>#N/A</v>
      </c>
    </row>
    <row r="364" spans="1:4" ht="14" x14ac:dyDescent="0.15">
      <c r="A364" s="322">
        <v>1611002731</v>
      </c>
      <c r="B364" s="322" t="s">
        <v>1743</v>
      </c>
      <c r="C364">
        <v>1613000560</v>
      </c>
      <c r="D364">
        <f t="shared" si="5"/>
        <v>1611002731</v>
      </c>
    </row>
    <row r="365" spans="1:4" ht="14" x14ac:dyDescent="0.15">
      <c r="A365" s="322">
        <v>1611100110</v>
      </c>
      <c r="B365" s="322" t="s">
        <v>512</v>
      </c>
      <c r="C365">
        <v>1613000580</v>
      </c>
      <c r="D365">
        <f t="shared" si="5"/>
        <v>1611100110</v>
      </c>
    </row>
    <row r="366" spans="1:4" ht="14" x14ac:dyDescent="0.15">
      <c r="A366" s="322">
        <v>1611100441</v>
      </c>
      <c r="B366" s="322" t="s">
        <v>558</v>
      </c>
      <c r="C366">
        <v>1613000581</v>
      </c>
      <c r="D366">
        <f t="shared" si="5"/>
        <v>1611100441</v>
      </c>
    </row>
    <row r="367" spans="1:4" ht="14" x14ac:dyDescent="0.15">
      <c r="A367" s="322">
        <v>1611100530</v>
      </c>
      <c r="B367" s="322" t="s">
        <v>99</v>
      </c>
      <c r="C367">
        <v>1613000810</v>
      </c>
      <c r="D367">
        <f t="shared" si="5"/>
        <v>1611100530</v>
      </c>
    </row>
    <row r="368" spans="1:4" ht="14" x14ac:dyDescent="0.15">
      <c r="A368" s="322">
        <v>1611120530</v>
      </c>
      <c r="B368" s="322" t="s">
        <v>2092</v>
      </c>
      <c r="C368">
        <v>1613000910</v>
      </c>
      <c r="D368">
        <f t="shared" si="5"/>
        <v>1611120530</v>
      </c>
    </row>
    <row r="369" spans="1:4" ht="14" x14ac:dyDescent="0.15">
      <c r="A369" s="322">
        <v>1612000110</v>
      </c>
      <c r="B369" s="322" t="s">
        <v>513</v>
      </c>
      <c r="C369">
        <v>1613000930</v>
      </c>
      <c r="D369">
        <f t="shared" si="5"/>
        <v>1612000110</v>
      </c>
    </row>
    <row r="370" spans="1:4" ht="14" x14ac:dyDescent="0.15">
      <c r="A370" s="322">
        <v>1612000440</v>
      </c>
      <c r="B370" s="322" t="s">
        <v>561</v>
      </c>
      <c r="C370">
        <v>1613000980</v>
      </c>
      <c r="D370">
        <f t="shared" si="5"/>
        <v>1612000440</v>
      </c>
    </row>
    <row r="371" spans="1:4" ht="14" x14ac:dyDescent="0.15">
      <c r="A371" s="322">
        <v>1612000511</v>
      </c>
      <c r="B371" s="322" t="s">
        <v>19</v>
      </c>
      <c r="C371">
        <v>1613000981</v>
      </c>
      <c r="D371">
        <f t="shared" si="5"/>
        <v>1612000511</v>
      </c>
    </row>
    <row r="372" spans="1:4" ht="14" x14ac:dyDescent="0.15">
      <c r="A372" s="322">
        <v>1612000521</v>
      </c>
      <c r="B372" s="322" t="s">
        <v>562</v>
      </c>
      <c r="C372">
        <v>1614000110</v>
      </c>
      <c r="D372">
        <f t="shared" si="5"/>
        <v>1612000521</v>
      </c>
    </row>
    <row r="373" spans="1:4" ht="14" x14ac:dyDescent="0.15">
      <c r="A373" s="322">
        <v>1612000522</v>
      </c>
      <c r="B373" s="322" t="s">
        <v>563</v>
      </c>
      <c r="C373">
        <v>1614000470</v>
      </c>
      <c r="D373">
        <f t="shared" si="5"/>
        <v>1612000522</v>
      </c>
    </row>
    <row r="374" spans="1:4" ht="14" x14ac:dyDescent="0.15">
      <c r="A374" s="322">
        <v>1612000523</v>
      </c>
      <c r="B374" s="322" t="s">
        <v>564</v>
      </c>
      <c r="C374">
        <v>1614000511</v>
      </c>
      <c r="D374">
        <f t="shared" si="5"/>
        <v>1612000523</v>
      </c>
    </row>
    <row r="375" spans="1:4" ht="14" x14ac:dyDescent="0.15">
      <c r="A375" s="322">
        <v>1612000530</v>
      </c>
      <c r="B375" s="322" t="s">
        <v>2093</v>
      </c>
      <c r="C375">
        <v>1614000521</v>
      </c>
      <c r="D375">
        <f t="shared" si="5"/>
        <v>1612000530</v>
      </c>
    </row>
    <row r="376" spans="1:4" ht="14" x14ac:dyDescent="0.15">
      <c r="A376" s="322">
        <v>1612000560</v>
      </c>
      <c r="B376" s="322" t="s">
        <v>566</v>
      </c>
      <c r="C376">
        <v>1614000522</v>
      </c>
      <c r="D376">
        <f t="shared" si="5"/>
        <v>1612000560</v>
      </c>
    </row>
    <row r="377" spans="1:4" ht="14" x14ac:dyDescent="0.15">
      <c r="A377" s="322">
        <v>1612000581</v>
      </c>
      <c r="B377" s="322" t="s">
        <v>1745</v>
      </c>
      <c r="C377">
        <v>1614000523</v>
      </c>
      <c r="D377">
        <f t="shared" si="5"/>
        <v>1612000581</v>
      </c>
    </row>
    <row r="378" spans="1:4" ht="14" x14ac:dyDescent="0.15">
      <c r="A378" s="322">
        <v>1612000780</v>
      </c>
      <c r="B378" s="322" t="s">
        <v>567</v>
      </c>
      <c r="C378">
        <v>1614000550</v>
      </c>
      <c r="D378">
        <f t="shared" si="5"/>
        <v>1612000780</v>
      </c>
    </row>
    <row r="379" spans="1:4" ht="14" x14ac:dyDescent="0.15">
      <c r="A379" s="324">
        <v>1612000930</v>
      </c>
      <c r="B379" s="322" t="s">
        <v>568</v>
      </c>
      <c r="C379">
        <v>1614000570</v>
      </c>
      <c r="D379" t="e">
        <f t="shared" si="5"/>
        <v>#N/A</v>
      </c>
    </row>
    <row r="380" spans="1:4" ht="14" x14ac:dyDescent="0.15">
      <c r="A380" s="322">
        <v>1613000110</v>
      </c>
      <c r="B380" s="322" t="s">
        <v>514</v>
      </c>
      <c r="C380">
        <v>1614000581</v>
      </c>
      <c r="D380">
        <f t="shared" si="5"/>
        <v>1613000110</v>
      </c>
    </row>
    <row r="381" spans="1:4" ht="14" x14ac:dyDescent="0.15">
      <c r="A381" s="322">
        <v>1613000440</v>
      </c>
      <c r="B381" s="322" t="s">
        <v>558</v>
      </c>
      <c r="C381">
        <v>1614000930</v>
      </c>
      <c r="D381">
        <f t="shared" si="5"/>
        <v>1613000440</v>
      </c>
    </row>
    <row r="382" spans="1:4" ht="14" x14ac:dyDescent="0.15">
      <c r="A382" s="322">
        <v>1613000470</v>
      </c>
      <c r="B382" s="322" t="s">
        <v>569</v>
      </c>
      <c r="C382">
        <v>1614001551</v>
      </c>
      <c r="D382" t="e">
        <f t="shared" si="5"/>
        <v>#N/A</v>
      </c>
    </row>
    <row r="383" spans="1:4" ht="14" x14ac:dyDescent="0.15">
      <c r="A383" s="322">
        <v>1613000511</v>
      </c>
      <c r="B383" s="322" t="s">
        <v>1746</v>
      </c>
      <c r="C383">
        <v>1615000110</v>
      </c>
      <c r="D383">
        <f t="shared" si="5"/>
        <v>1613000511</v>
      </c>
    </row>
    <row r="384" spans="1:4" ht="14" x14ac:dyDescent="0.15">
      <c r="A384" s="322">
        <v>1613000512</v>
      </c>
      <c r="B384" s="322" t="s">
        <v>570</v>
      </c>
      <c r="C384">
        <v>1615000511</v>
      </c>
      <c r="D384">
        <f t="shared" si="5"/>
        <v>1613000512</v>
      </c>
    </row>
    <row r="385" spans="1:4" ht="14" x14ac:dyDescent="0.15">
      <c r="A385" s="322">
        <v>1613000520</v>
      </c>
      <c r="B385" s="322" t="s">
        <v>571</v>
      </c>
      <c r="C385">
        <v>1615000521</v>
      </c>
      <c r="D385">
        <f t="shared" si="5"/>
        <v>1613000520</v>
      </c>
    </row>
    <row r="386" spans="1:4" ht="14" x14ac:dyDescent="0.15">
      <c r="A386" s="322">
        <v>1613000521</v>
      </c>
      <c r="B386" s="322" t="s">
        <v>572</v>
      </c>
      <c r="C386">
        <v>1615000522</v>
      </c>
      <c r="D386">
        <f t="shared" si="5"/>
        <v>1613000521</v>
      </c>
    </row>
    <row r="387" spans="1:4" ht="14" x14ac:dyDescent="0.15">
      <c r="A387" s="322">
        <v>1613000522</v>
      </c>
      <c r="B387" s="322" t="s">
        <v>573</v>
      </c>
      <c r="C387">
        <v>1615000523</v>
      </c>
      <c r="D387">
        <f t="shared" si="5"/>
        <v>1613000522</v>
      </c>
    </row>
    <row r="388" spans="1:4" ht="14" x14ac:dyDescent="0.15">
      <c r="A388" s="322">
        <v>1613000523</v>
      </c>
      <c r="B388" s="322" t="s">
        <v>574</v>
      </c>
      <c r="C388">
        <v>1615000560</v>
      </c>
      <c r="D388">
        <f t="shared" ref="D388:D451" si="6">VLOOKUP(A388,$C$3:$C$1296,1,FALSE)</f>
        <v>1613000523</v>
      </c>
    </row>
    <row r="389" spans="1:4" ht="14" x14ac:dyDescent="0.15">
      <c r="A389" s="322">
        <v>1613000530</v>
      </c>
      <c r="B389" s="322" t="s">
        <v>2094</v>
      </c>
      <c r="C389">
        <v>1615000571</v>
      </c>
      <c r="D389">
        <f t="shared" si="6"/>
        <v>1613000530</v>
      </c>
    </row>
    <row r="390" spans="1:4" ht="14" x14ac:dyDescent="0.15">
      <c r="A390" s="322">
        <v>1613000560</v>
      </c>
      <c r="B390" s="322" t="s">
        <v>576</v>
      </c>
      <c r="C390">
        <v>1615000581</v>
      </c>
      <c r="D390">
        <f t="shared" si="6"/>
        <v>1613000560</v>
      </c>
    </row>
    <row r="391" spans="1:4" ht="14" x14ac:dyDescent="0.15">
      <c r="A391" s="322">
        <v>1613000580</v>
      </c>
      <c r="B391" s="322" t="s">
        <v>577</v>
      </c>
      <c r="C391">
        <v>1615000780</v>
      </c>
      <c r="D391">
        <f t="shared" si="6"/>
        <v>1613000580</v>
      </c>
    </row>
    <row r="392" spans="1:4" ht="14" x14ac:dyDescent="0.15">
      <c r="A392" s="322">
        <v>1613000581</v>
      </c>
      <c r="B392" s="322" t="s">
        <v>1749</v>
      </c>
      <c r="C392">
        <v>1615000930</v>
      </c>
      <c r="D392">
        <f t="shared" si="6"/>
        <v>1613000581</v>
      </c>
    </row>
    <row r="393" spans="1:4" ht="14" x14ac:dyDescent="0.15">
      <c r="A393" s="322">
        <v>1613000810</v>
      </c>
      <c r="B393" s="322" t="s">
        <v>578</v>
      </c>
      <c r="C393">
        <v>1615000981</v>
      </c>
      <c r="D393">
        <f t="shared" si="6"/>
        <v>1613000810</v>
      </c>
    </row>
    <row r="394" spans="1:4" ht="14" x14ac:dyDescent="0.15">
      <c r="A394" s="322">
        <v>1613000910</v>
      </c>
      <c r="B394" s="322" t="s">
        <v>741</v>
      </c>
      <c r="C394">
        <v>1617000110</v>
      </c>
      <c r="D394">
        <f t="shared" si="6"/>
        <v>1613000910</v>
      </c>
    </row>
    <row r="395" spans="1:4" ht="14" x14ac:dyDescent="0.15">
      <c r="A395" s="322">
        <v>1613000930</v>
      </c>
      <c r="B395" s="322" t="s">
        <v>579</v>
      </c>
      <c r="C395">
        <v>1617000440</v>
      </c>
      <c r="D395">
        <f t="shared" si="6"/>
        <v>1613000930</v>
      </c>
    </row>
    <row r="396" spans="1:4" ht="14" x14ac:dyDescent="0.15">
      <c r="A396" s="322">
        <v>1613000980</v>
      </c>
      <c r="B396" s="322" t="s">
        <v>580</v>
      </c>
      <c r="C396">
        <v>1617000441</v>
      </c>
      <c r="D396">
        <f t="shared" si="6"/>
        <v>1613000980</v>
      </c>
    </row>
    <row r="397" spans="1:4" ht="14" x14ac:dyDescent="0.15">
      <c r="A397" s="322">
        <v>1613000981</v>
      </c>
      <c r="B397" s="322" t="s">
        <v>1553</v>
      </c>
      <c r="C397">
        <v>1617000442</v>
      </c>
      <c r="D397">
        <f t="shared" si="6"/>
        <v>1613000981</v>
      </c>
    </row>
    <row r="398" spans="1:4" ht="14" x14ac:dyDescent="0.15">
      <c r="A398" s="322">
        <v>1614000110</v>
      </c>
      <c r="B398" s="322" t="s">
        <v>515</v>
      </c>
      <c r="C398">
        <v>1617000500</v>
      </c>
      <c r="D398">
        <f t="shared" si="6"/>
        <v>1614000110</v>
      </c>
    </row>
    <row r="399" spans="1:4" ht="14" x14ac:dyDescent="0.15">
      <c r="A399" s="322">
        <v>1614000470</v>
      </c>
      <c r="B399" s="322" t="s">
        <v>581</v>
      </c>
      <c r="C399">
        <v>1617000511</v>
      </c>
      <c r="D399">
        <f t="shared" si="6"/>
        <v>1614000470</v>
      </c>
    </row>
    <row r="400" spans="1:4" ht="14" x14ac:dyDescent="0.15">
      <c r="A400" s="322">
        <v>1614000511</v>
      </c>
      <c r="B400" s="322" t="s">
        <v>1751</v>
      </c>
      <c r="C400">
        <v>1617000512</v>
      </c>
      <c r="D400">
        <f t="shared" si="6"/>
        <v>1614000511</v>
      </c>
    </row>
    <row r="401" spans="1:4" ht="14" x14ac:dyDescent="0.15">
      <c r="A401" s="322">
        <v>1614000521</v>
      </c>
      <c r="B401" s="322" t="s">
        <v>582</v>
      </c>
      <c r="C401">
        <v>1617000521</v>
      </c>
      <c r="D401">
        <f t="shared" si="6"/>
        <v>1614000521</v>
      </c>
    </row>
    <row r="402" spans="1:4" ht="14" x14ac:dyDescent="0.15">
      <c r="A402" s="322">
        <v>1614000522</v>
      </c>
      <c r="B402" s="322" t="s">
        <v>583</v>
      </c>
      <c r="C402">
        <v>1617000522</v>
      </c>
      <c r="D402">
        <f t="shared" si="6"/>
        <v>1614000522</v>
      </c>
    </row>
    <row r="403" spans="1:4" ht="14" x14ac:dyDescent="0.15">
      <c r="A403" s="322">
        <v>1614000523</v>
      </c>
      <c r="B403" s="322" t="s">
        <v>2095</v>
      </c>
      <c r="C403">
        <v>1617000523</v>
      </c>
      <c r="D403">
        <f t="shared" si="6"/>
        <v>1614000523</v>
      </c>
    </row>
    <row r="404" spans="1:4" ht="14" x14ac:dyDescent="0.15">
      <c r="A404" s="322">
        <v>1614000550</v>
      </c>
      <c r="B404" s="322" t="s">
        <v>584</v>
      </c>
      <c r="C404">
        <v>1617000530</v>
      </c>
      <c r="D404">
        <f t="shared" si="6"/>
        <v>1614000550</v>
      </c>
    </row>
    <row r="405" spans="1:4" ht="14" x14ac:dyDescent="0.15">
      <c r="A405" s="322">
        <v>1614000570</v>
      </c>
      <c r="B405" s="322" t="s">
        <v>243</v>
      </c>
      <c r="C405">
        <v>1617000540</v>
      </c>
      <c r="D405">
        <f t="shared" si="6"/>
        <v>1614000570</v>
      </c>
    </row>
    <row r="406" spans="1:4" ht="14" x14ac:dyDescent="0.15">
      <c r="A406" s="322">
        <v>1614000581</v>
      </c>
      <c r="B406" s="322" t="s">
        <v>1752</v>
      </c>
      <c r="C406">
        <v>1617000560</v>
      </c>
      <c r="D406">
        <f t="shared" si="6"/>
        <v>1614000581</v>
      </c>
    </row>
    <row r="407" spans="1:4" ht="14" x14ac:dyDescent="0.15">
      <c r="A407" s="322">
        <v>1614000930</v>
      </c>
      <c r="B407" s="322" t="s">
        <v>585</v>
      </c>
      <c r="C407">
        <v>1617000561</v>
      </c>
      <c r="D407">
        <f t="shared" si="6"/>
        <v>1614000930</v>
      </c>
    </row>
    <row r="408" spans="1:4" ht="14" x14ac:dyDescent="0.15">
      <c r="A408" s="322">
        <v>1614000981</v>
      </c>
      <c r="B408" s="322" t="s">
        <v>74</v>
      </c>
      <c r="C408">
        <v>1617000570</v>
      </c>
      <c r="D408" t="e">
        <f t="shared" si="6"/>
        <v>#N/A</v>
      </c>
    </row>
    <row r="409" spans="1:4" ht="14" x14ac:dyDescent="0.15">
      <c r="A409" s="322">
        <v>1614001551</v>
      </c>
      <c r="B409" s="322" t="s">
        <v>586</v>
      </c>
      <c r="C409">
        <v>1617000581</v>
      </c>
      <c r="D409">
        <f t="shared" si="6"/>
        <v>1614001551</v>
      </c>
    </row>
    <row r="410" spans="1:4" ht="14" x14ac:dyDescent="0.15">
      <c r="A410" s="322">
        <v>1615000110</v>
      </c>
      <c r="B410" s="322" t="s">
        <v>516</v>
      </c>
      <c r="C410">
        <v>1617000750</v>
      </c>
      <c r="D410">
        <f t="shared" si="6"/>
        <v>1615000110</v>
      </c>
    </row>
    <row r="411" spans="1:4" ht="14" x14ac:dyDescent="0.15">
      <c r="A411" s="324">
        <v>1615000210</v>
      </c>
      <c r="B411" s="322" t="s">
        <v>2096</v>
      </c>
      <c r="C411">
        <v>1617000760</v>
      </c>
      <c r="D411" t="e">
        <f t="shared" si="6"/>
        <v>#N/A</v>
      </c>
    </row>
    <row r="412" spans="1:4" ht="14" x14ac:dyDescent="0.15">
      <c r="A412" s="322">
        <v>1615000511</v>
      </c>
      <c r="B412" s="322" t="s">
        <v>1753</v>
      </c>
      <c r="C412">
        <v>1617000930</v>
      </c>
      <c r="D412">
        <f t="shared" si="6"/>
        <v>1615000511</v>
      </c>
    </row>
    <row r="413" spans="1:4" ht="14" x14ac:dyDescent="0.15">
      <c r="A413" s="322">
        <v>1615000521</v>
      </c>
      <c r="B413" s="322" t="s">
        <v>1754</v>
      </c>
      <c r="C413">
        <v>1617000980</v>
      </c>
      <c r="D413">
        <f t="shared" si="6"/>
        <v>1615000521</v>
      </c>
    </row>
    <row r="414" spans="1:4" ht="14" x14ac:dyDescent="0.15">
      <c r="A414" s="322">
        <v>1615000522</v>
      </c>
      <c r="B414" s="322" t="s">
        <v>587</v>
      </c>
      <c r="C414">
        <v>1619000780</v>
      </c>
      <c r="D414">
        <f t="shared" si="6"/>
        <v>1615000522</v>
      </c>
    </row>
    <row r="415" spans="1:4" ht="14" x14ac:dyDescent="0.15">
      <c r="A415" s="322">
        <v>1615000523</v>
      </c>
      <c r="B415" s="322" t="s">
        <v>588</v>
      </c>
      <c r="C415" s="182"/>
      <c r="D415">
        <f t="shared" si="6"/>
        <v>1615000523</v>
      </c>
    </row>
    <row r="416" spans="1:4" ht="14" x14ac:dyDescent="0.15">
      <c r="A416" s="322">
        <v>1615000560</v>
      </c>
      <c r="B416" s="322" t="s">
        <v>589</v>
      </c>
      <c r="C416" s="182"/>
      <c r="D416">
        <f t="shared" si="6"/>
        <v>1615000560</v>
      </c>
    </row>
    <row r="417" spans="1:4" ht="14" x14ac:dyDescent="0.15">
      <c r="A417" s="322">
        <v>1615000571</v>
      </c>
      <c r="B417" s="322" t="s">
        <v>590</v>
      </c>
      <c r="C417">
        <v>1621100110</v>
      </c>
      <c r="D417">
        <f t="shared" si="6"/>
        <v>1615000571</v>
      </c>
    </row>
    <row r="418" spans="1:4" ht="14" x14ac:dyDescent="0.15">
      <c r="A418" s="322">
        <v>1615000581</v>
      </c>
      <c r="B418" s="322" t="s">
        <v>1673</v>
      </c>
      <c r="C418">
        <v>1621100440</v>
      </c>
      <c r="D418">
        <f t="shared" si="6"/>
        <v>1615000581</v>
      </c>
    </row>
    <row r="419" spans="1:4" ht="14" x14ac:dyDescent="0.15">
      <c r="A419" s="322">
        <v>1615000760</v>
      </c>
      <c r="B419" s="322" t="s">
        <v>552</v>
      </c>
      <c r="C419">
        <v>1621100470</v>
      </c>
      <c r="D419" t="e">
        <f t="shared" si="6"/>
        <v>#N/A</v>
      </c>
    </row>
    <row r="420" spans="1:4" ht="14" x14ac:dyDescent="0.15">
      <c r="A420" s="322">
        <v>1615000780</v>
      </c>
      <c r="B420" s="322" t="s">
        <v>591</v>
      </c>
      <c r="C420">
        <v>1621100511</v>
      </c>
      <c r="D420">
        <f t="shared" si="6"/>
        <v>1615000780</v>
      </c>
    </row>
    <row r="421" spans="1:4" ht="14" x14ac:dyDescent="0.15">
      <c r="A421" s="322">
        <v>1615000930</v>
      </c>
      <c r="B421" s="322" t="s">
        <v>592</v>
      </c>
      <c r="C421">
        <v>1621100521</v>
      </c>
      <c r="D421">
        <f t="shared" si="6"/>
        <v>1615000930</v>
      </c>
    </row>
    <row r="422" spans="1:4" ht="14" x14ac:dyDescent="0.15">
      <c r="A422" s="322">
        <v>1615000981</v>
      </c>
      <c r="B422" s="322" t="s">
        <v>652</v>
      </c>
      <c r="C422">
        <v>1621100522</v>
      </c>
      <c r="D422">
        <f t="shared" si="6"/>
        <v>1615000981</v>
      </c>
    </row>
    <row r="423" spans="1:4" ht="14" x14ac:dyDescent="0.15">
      <c r="A423" s="322">
        <v>1617000110</v>
      </c>
      <c r="B423" s="322" t="s">
        <v>517</v>
      </c>
      <c r="C423">
        <v>1621100523</v>
      </c>
      <c r="D423">
        <f t="shared" si="6"/>
        <v>1617000110</v>
      </c>
    </row>
    <row r="424" spans="1:4" ht="14" x14ac:dyDescent="0.15">
      <c r="A424" s="322">
        <v>1617000210</v>
      </c>
      <c r="B424" s="322" t="s">
        <v>247</v>
      </c>
      <c r="C424">
        <v>1621100530</v>
      </c>
      <c r="D424" t="e">
        <f t="shared" si="6"/>
        <v>#N/A</v>
      </c>
    </row>
    <row r="425" spans="1:4" ht="14" x14ac:dyDescent="0.15">
      <c r="A425" s="322">
        <v>1617000440</v>
      </c>
      <c r="B425" s="322" t="s">
        <v>593</v>
      </c>
      <c r="C425">
        <v>1621100560</v>
      </c>
      <c r="D425">
        <f t="shared" si="6"/>
        <v>1617000440</v>
      </c>
    </row>
    <row r="426" spans="1:4" ht="14" x14ac:dyDescent="0.15">
      <c r="A426" s="322">
        <v>1617000441</v>
      </c>
      <c r="B426" s="322" t="s">
        <v>594</v>
      </c>
      <c r="C426">
        <v>1621100581</v>
      </c>
      <c r="D426">
        <f t="shared" si="6"/>
        <v>1617000441</v>
      </c>
    </row>
    <row r="427" spans="1:4" ht="14" x14ac:dyDescent="0.15">
      <c r="A427" s="322">
        <v>1617000442</v>
      </c>
      <c r="B427" s="322" t="s">
        <v>595</v>
      </c>
      <c r="C427">
        <v>1621100760</v>
      </c>
      <c r="D427">
        <f t="shared" si="6"/>
        <v>1617000442</v>
      </c>
    </row>
    <row r="428" spans="1:4" ht="14" x14ac:dyDescent="0.15">
      <c r="A428" s="322">
        <v>1617000500</v>
      </c>
      <c r="B428" s="322" t="s">
        <v>596</v>
      </c>
      <c r="C428">
        <v>1621100930</v>
      </c>
      <c r="D428">
        <f t="shared" si="6"/>
        <v>1617000500</v>
      </c>
    </row>
    <row r="429" spans="1:4" ht="14" x14ac:dyDescent="0.15">
      <c r="A429" s="322">
        <v>1617000511</v>
      </c>
      <c r="B429" s="322" t="s">
        <v>597</v>
      </c>
      <c r="C429">
        <v>1621100980</v>
      </c>
      <c r="D429">
        <f t="shared" si="6"/>
        <v>1617000511</v>
      </c>
    </row>
    <row r="430" spans="1:4" ht="14" x14ac:dyDescent="0.15">
      <c r="A430" s="322">
        <v>1617000512</v>
      </c>
      <c r="B430" s="322" t="s">
        <v>598</v>
      </c>
      <c r="C430">
        <v>1621300560</v>
      </c>
      <c r="D430">
        <f t="shared" si="6"/>
        <v>1617000512</v>
      </c>
    </row>
    <row r="431" spans="1:4" ht="14" x14ac:dyDescent="0.15">
      <c r="A431" s="322">
        <v>1617000521</v>
      </c>
      <c r="B431" s="322" t="s">
        <v>599</v>
      </c>
      <c r="C431">
        <v>1621300570</v>
      </c>
      <c r="D431">
        <f t="shared" si="6"/>
        <v>1617000521</v>
      </c>
    </row>
    <row r="432" spans="1:4" ht="14" x14ac:dyDescent="0.15">
      <c r="A432" s="322">
        <v>1617000522</v>
      </c>
      <c r="B432" s="322" t="s">
        <v>600</v>
      </c>
      <c r="C432">
        <v>1621300571</v>
      </c>
      <c r="D432">
        <f t="shared" si="6"/>
        <v>1617000522</v>
      </c>
    </row>
    <row r="433" spans="1:4" ht="14" x14ac:dyDescent="0.15">
      <c r="A433" s="322">
        <v>1617000523</v>
      </c>
      <c r="B433" s="322" t="s">
        <v>601</v>
      </c>
      <c r="C433">
        <v>1621300581</v>
      </c>
      <c r="D433">
        <f t="shared" si="6"/>
        <v>1617000523</v>
      </c>
    </row>
    <row r="434" spans="1:4" ht="14" x14ac:dyDescent="0.15">
      <c r="A434" s="322">
        <v>1617000530</v>
      </c>
      <c r="B434" s="322" t="s">
        <v>2097</v>
      </c>
      <c r="C434">
        <v>1621300750</v>
      </c>
      <c r="D434">
        <f t="shared" si="6"/>
        <v>1617000530</v>
      </c>
    </row>
    <row r="435" spans="1:4" ht="14" x14ac:dyDescent="0.15">
      <c r="A435" s="322">
        <v>1617000540</v>
      </c>
      <c r="B435" s="322" t="s">
        <v>603</v>
      </c>
      <c r="C435">
        <v>1621300780</v>
      </c>
      <c r="D435">
        <f t="shared" si="6"/>
        <v>1617000540</v>
      </c>
    </row>
    <row r="436" spans="1:4" ht="14" x14ac:dyDescent="0.15">
      <c r="A436" s="322">
        <v>1617000560</v>
      </c>
      <c r="B436" s="322" t="s">
        <v>604</v>
      </c>
      <c r="C436">
        <v>1621300930</v>
      </c>
      <c r="D436">
        <f t="shared" si="6"/>
        <v>1617000560</v>
      </c>
    </row>
    <row r="437" spans="1:4" ht="14" x14ac:dyDescent="0.15">
      <c r="A437" s="322">
        <v>1617000561</v>
      </c>
      <c r="B437" s="322" t="s">
        <v>1931</v>
      </c>
      <c r="C437">
        <v>1621500110</v>
      </c>
      <c r="D437">
        <f t="shared" si="6"/>
        <v>1617000561</v>
      </c>
    </row>
    <row r="438" spans="1:4" ht="14" x14ac:dyDescent="0.15">
      <c r="A438" s="322">
        <v>1617000570</v>
      </c>
      <c r="B438" s="322" t="s">
        <v>605</v>
      </c>
      <c r="C438">
        <v>1621500511</v>
      </c>
      <c r="D438">
        <f t="shared" si="6"/>
        <v>1617000570</v>
      </c>
    </row>
    <row r="439" spans="1:4" ht="14" x14ac:dyDescent="0.15">
      <c r="A439" s="322">
        <v>1617000580</v>
      </c>
      <c r="B439" s="322" t="s">
        <v>1218</v>
      </c>
      <c r="C439">
        <v>1621500521</v>
      </c>
      <c r="D439" t="e">
        <f t="shared" si="6"/>
        <v>#N/A</v>
      </c>
    </row>
    <row r="440" spans="1:4" ht="14" x14ac:dyDescent="0.15">
      <c r="A440" s="322">
        <v>1617000581</v>
      </c>
      <c r="B440" s="322" t="s">
        <v>606</v>
      </c>
      <c r="C440">
        <v>1621500523</v>
      </c>
      <c r="D440">
        <f t="shared" si="6"/>
        <v>1617000581</v>
      </c>
    </row>
    <row r="441" spans="1:4" ht="14" x14ac:dyDescent="0.15">
      <c r="A441" s="322">
        <v>1617000750</v>
      </c>
      <c r="B441" s="322" t="s">
        <v>607</v>
      </c>
      <c r="C441">
        <v>1621500560</v>
      </c>
      <c r="D441">
        <f t="shared" si="6"/>
        <v>1617000750</v>
      </c>
    </row>
    <row r="442" spans="1:4" ht="14" x14ac:dyDescent="0.15">
      <c r="A442" s="322">
        <v>1617000760</v>
      </c>
      <c r="B442" s="322" t="s">
        <v>552</v>
      </c>
      <c r="C442">
        <v>1621500570</v>
      </c>
      <c r="D442">
        <f t="shared" si="6"/>
        <v>1617000760</v>
      </c>
    </row>
    <row r="443" spans="1:4" ht="14" x14ac:dyDescent="0.15">
      <c r="A443" s="322">
        <v>1617000930</v>
      </c>
      <c r="B443" s="322" t="s">
        <v>608</v>
      </c>
      <c r="C443">
        <v>1621500581</v>
      </c>
      <c r="D443">
        <f t="shared" si="6"/>
        <v>1617000930</v>
      </c>
    </row>
    <row r="444" spans="1:4" ht="14" x14ac:dyDescent="0.15">
      <c r="A444" s="322">
        <v>1617000980</v>
      </c>
      <c r="B444" s="322" t="s">
        <v>609</v>
      </c>
      <c r="C444">
        <v>1621500780</v>
      </c>
      <c r="D444">
        <f t="shared" si="6"/>
        <v>1617000980</v>
      </c>
    </row>
    <row r="445" spans="1:4" ht="14" x14ac:dyDescent="0.15">
      <c r="A445" s="322">
        <v>1617000981</v>
      </c>
      <c r="B445" s="322" t="s">
        <v>74</v>
      </c>
      <c r="C445">
        <v>1621500930</v>
      </c>
      <c r="D445" t="e">
        <f t="shared" si="6"/>
        <v>#N/A</v>
      </c>
    </row>
    <row r="446" spans="1:4" ht="14" x14ac:dyDescent="0.15">
      <c r="A446" s="324">
        <v>1619000110</v>
      </c>
      <c r="B446" s="322" t="s">
        <v>23</v>
      </c>
      <c r="C446">
        <v>1623000110</v>
      </c>
      <c r="D446" t="e">
        <f t="shared" si="6"/>
        <v>#N/A</v>
      </c>
    </row>
    <row r="447" spans="1:4" ht="14" x14ac:dyDescent="0.15">
      <c r="A447" s="322">
        <v>1619000780</v>
      </c>
      <c r="B447" s="322" t="s">
        <v>1153</v>
      </c>
      <c r="C447">
        <v>1623000440</v>
      </c>
      <c r="D447">
        <f t="shared" si="6"/>
        <v>1619000780</v>
      </c>
    </row>
    <row r="448" spans="1:4" ht="14" x14ac:dyDescent="0.15">
      <c r="A448" s="322">
        <v>1620000981</v>
      </c>
      <c r="B448" s="322" t="s">
        <v>73</v>
      </c>
      <c r="C448">
        <v>1623000511</v>
      </c>
      <c r="D448" t="e">
        <f t="shared" si="6"/>
        <v>#N/A</v>
      </c>
    </row>
    <row r="449" spans="1:4" ht="14" x14ac:dyDescent="0.15">
      <c r="A449" s="322">
        <v>1621000731</v>
      </c>
      <c r="B449" s="322" t="s">
        <v>1530</v>
      </c>
      <c r="C449">
        <v>1623000521</v>
      </c>
      <c r="D449" t="e">
        <f t="shared" si="6"/>
        <v>#N/A</v>
      </c>
    </row>
    <row r="450" spans="1:4" ht="14" x14ac:dyDescent="0.15">
      <c r="A450" s="322">
        <v>1621100110</v>
      </c>
      <c r="B450" s="322" t="s">
        <v>518</v>
      </c>
      <c r="C450">
        <v>1623000530</v>
      </c>
      <c r="D450">
        <f t="shared" si="6"/>
        <v>1621100110</v>
      </c>
    </row>
    <row r="451" spans="1:4" ht="14" x14ac:dyDescent="0.15">
      <c r="A451" s="322">
        <v>1621100440</v>
      </c>
      <c r="B451" s="322" t="s">
        <v>610</v>
      </c>
      <c r="C451">
        <v>1623000560</v>
      </c>
      <c r="D451">
        <f t="shared" si="6"/>
        <v>1621100440</v>
      </c>
    </row>
    <row r="452" spans="1:4" ht="14" x14ac:dyDescent="0.15">
      <c r="A452" s="322">
        <v>1621100470</v>
      </c>
      <c r="B452" s="322" t="s">
        <v>611</v>
      </c>
      <c r="C452">
        <v>1623000570</v>
      </c>
      <c r="D452">
        <f t="shared" ref="D452:D515" si="7">VLOOKUP(A452,$C$3:$C$1296,1,FALSE)</f>
        <v>1621100470</v>
      </c>
    </row>
    <row r="453" spans="1:4" ht="14" x14ac:dyDescent="0.15">
      <c r="A453" s="322">
        <v>1621100511</v>
      </c>
      <c r="B453" s="322" t="s">
        <v>612</v>
      </c>
      <c r="C453">
        <v>1623000580</v>
      </c>
      <c r="D453">
        <f t="shared" si="7"/>
        <v>1621100511</v>
      </c>
    </row>
    <row r="454" spans="1:4" ht="14" x14ac:dyDescent="0.15">
      <c r="A454" s="324">
        <v>1621100512</v>
      </c>
      <c r="B454" s="322" t="s">
        <v>613</v>
      </c>
      <c r="C454">
        <v>1623000720</v>
      </c>
      <c r="D454" t="e">
        <f t="shared" si="7"/>
        <v>#N/A</v>
      </c>
    </row>
    <row r="455" spans="1:4" ht="14" x14ac:dyDescent="0.15">
      <c r="A455" s="322">
        <v>1621100521</v>
      </c>
      <c r="B455" s="322" t="s">
        <v>614</v>
      </c>
      <c r="C455">
        <v>1623000750</v>
      </c>
      <c r="D455">
        <f t="shared" si="7"/>
        <v>1621100521</v>
      </c>
    </row>
    <row r="456" spans="1:4" ht="14" x14ac:dyDescent="0.15">
      <c r="A456" s="322">
        <v>1621100522</v>
      </c>
      <c r="B456" s="322" t="s">
        <v>615</v>
      </c>
      <c r="C456">
        <v>1623000751</v>
      </c>
      <c r="D456">
        <f t="shared" si="7"/>
        <v>1621100522</v>
      </c>
    </row>
    <row r="457" spans="1:4" ht="14" x14ac:dyDescent="0.15">
      <c r="A457" s="322">
        <v>1621100523</v>
      </c>
      <c r="B457" s="322" t="s">
        <v>616</v>
      </c>
      <c r="C457">
        <v>1623000753</v>
      </c>
      <c r="D457">
        <f t="shared" si="7"/>
        <v>1621100523</v>
      </c>
    </row>
    <row r="458" spans="1:4" ht="14" x14ac:dyDescent="0.15">
      <c r="A458" s="322">
        <v>1621100530</v>
      </c>
      <c r="B458" s="322" t="s">
        <v>2098</v>
      </c>
      <c r="C458">
        <v>1623000780</v>
      </c>
      <c r="D458">
        <f t="shared" si="7"/>
        <v>1621100530</v>
      </c>
    </row>
    <row r="459" spans="1:4" ht="14" x14ac:dyDescent="0.15">
      <c r="A459" s="322">
        <v>1621100560</v>
      </c>
      <c r="B459" s="322" t="s">
        <v>618</v>
      </c>
      <c r="C459">
        <v>1623000930</v>
      </c>
      <c r="D459">
        <f t="shared" si="7"/>
        <v>1621100560</v>
      </c>
    </row>
    <row r="460" spans="1:4" ht="14" x14ac:dyDescent="0.15">
      <c r="A460" s="324">
        <v>1621100580</v>
      </c>
      <c r="B460" s="322" t="s">
        <v>1220</v>
      </c>
      <c r="C460">
        <v>1623000980</v>
      </c>
      <c r="D460" t="e">
        <f t="shared" si="7"/>
        <v>#N/A</v>
      </c>
    </row>
    <row r="461" spans="1:4" ht="14" x14ac:dyDescent="0.15">
      <c r="A461" s="322">
        <v>1621100581</v>
      </c>
      <c r="B461" s="322" t="s">
        <v>1771</v>
      </c>
      <c r="C461">
        <v>1623100530</v>
      </c>
      <c r="D461">
        <f t="shared" si="7"/>
        <v>1621100581</v>
      </c>
    </row>
    <row r="462" spans="1:4" ht="14" x14ac:dyDescent="0.15">
      <c r="A462" s="322">
        <v>1621100760</v>
      </c>
      <c r="B462" s="322" t="s">
        <v>552</v>
      </c>
      <c r="C462">
        <v>1623100731</v>
      </c>
      <c r="D462">
        <f t="shared" si="7"/>
        <v>1621100760</v>
      </c>
    </row>
    <row r="463" spans="1:4" ht="14" x14ac:dyDescent="0.15">
      <c r="A463" s="322">
        <v>1621100910</v>
      </c>
      <c r="B463" s="322" t="s">
        <v>1529</v>
      </c>
      <c r="C463">
        <v>1624000110</v>
      </c>
      <c r="D463" t="e">
        <f t="shared" si="7"/>
        <v>#N/A</v>
      </c>
    </row>
    <row r="464" spans="1:4" ht="14" x14ac:dyDescent="0.15">
      <c r="A464" s="322">
        <v>1621100930</v>
      </c>
      <c r="B464" s="322" t="s">
        <v>620</v>
      </c>
      <c r="C464">
        <v>1624000511</v>
      </c>
      <c r="D464">
        <f t="shared" si="7"/>
        <v>1621100930</v>
      </c>
    </row>
    <row r="465" spans="1:4" ht="14" x14ac:dyDescent="0.15">
      <c r="A465" s="322">
        <v>1621100980</v>
      </c>
      <c r="B465" s="322" t="s">
        <v>621</v>
      </c>
      <c r="C465">
        <v>1624000560</v>
      </c>
      <c r="D465">
        <f t="shared" si="7"/>
        <v>1621100980</v>
      </c>
    </row>
    <row r="466" spans="1:4" ht="14" x14ac:dyDescent="0.15">
      <c r="A466" s="322">
        <v>1621300560</v>
      </c>
      <c r="B466" s="322" t="s">
        <v>623</v>
      </c>
      <c r="C466">
        <v>1624000780</v>
      </c>
      <c r="D466">
        <f t="shared" si="7"/>
        <v>1621300560</v>
      </c>
    </row>
    <row r="467" spans="1:4" ht="14" x14ac:dyDescent="0.15">
      <c r="A467" s="322">
        <v>1621300570</v>
      </c>
      <c r="B467" s="322" t="s">
        <v>624</v>
      </c>
      <c r="C467">
        <v>1624000930</v>
      </c>
      <c r="D467">
        <f t="shared" si="7"/>
        <v>1621300570</v>
      </c>
    </row>
    <row r="468" spans="1:4" ht="14" x14ac:dyDescent="0.15">
      <c r="A468" s="322">
        <v>1621300571</v>
      </c>
      <c r="B468" s="322" t="s">
        <v>2099</v>
      </c>
      <c r="D468">
        <f t="shared" si="7"/>
        <v>1621300571</v>
      </c>
    </row>
    <row r="469" spans="1:4" ht="14" x14ac:dyDescent="0.15">
      <c r="A469" s="322">
        <v>1621300581</v>
      </c>
      <c r="B469" s="322" t="s">
        <v>1932</v>
      </c>
      <c r="C469" s="182"/>
      <c r="D469">
        <f t="shared" si="7"/>
        <v>1621300581</v>
      </c>
    </row>
    <row r="470" spans="1:4" ht="14" x14ac:dyDescent="0.15">
      <c r="A470" s="322">
        <v>1621300750</v>
      </c>
      <c r="B470" s="322" t="s">
        <v>625</v>
      </c>
      <c r="C470">
        <v>1631000610</v>
      </c>
      <c r="D470">
        <f t="shared" si="7"/>
        <v>1621300750</v>
      </c>
    </row>
    <row r="471" spans="1:4" ht="14" x14ac:dyDescent="0.15">
      <c r="A471" s="322">
        <v>1621300780</v>
      </c>
      <c r="B471" s="322" t="s">
        <v>626</v>
      </c>
      <c r="C471">
        <v>1631100610</v>
      </c>
      <c r="D471">
        <f t="shared" si="7"/>
        <v>1621300780</v>
      </c>
    </row>
    <row r="472" spans="1:4" ht="14" x14ac:dyDescent="0.15">
      <c r="A472" s="322">
        <v>1621300930</v>
      </c>
      <c r="B472" s="322" t="s">
        <v>627</v>
      </c>
      <c r="C472">
        <v>1632000620</v>
      </c>
      <c r="D472">
        <f t="shared" si="7"/>
        <v>1621300930</v>
      </c>
    </row>
    <row r="473" spans="1:4" ht="14" x14ac:dyDescent="0.15">
      <c r="A473" s="322">
        <v>1621500110</v>
      </c>
      <c r="B473" s="322" t="s">
        <v>519</v>
      </c>
      <c r="C473">
        <v>1632000623</v>
      </c>
      <c r="D473">
        <f t="shared" si="7"/>
        <v>1621500110</v>
      </c>
    </row>
    <row r="474" spans="1:4" ht="14" x14ac:dyDescent="0.15">
      <c r="A474" s="322">
        <v>1621500511</v>
      </c>
      <c r="B474" s="322" t="s">
        <v>29</v>
      </c>
      <c r="C474" s="182"/>
      <c r="D474">
        <f t="shared" si="7"/>
        <v>1621500511</v>
      </c>
    </row>
    <row r="475" spans="1:4" ht="14" x14ac:dyDescent="0.15">
      <c r="A475" s="322">
        <v>1621500521</v>
      </c>
      <c r="B475" s="322" t="s">
        <v>628</v>
      </c>
      <c r="C475">
        <v>1649000691</v>
      </c>
      <c r="D475">
        <f t="shared" si="7"/>
        <v>1621500521</v>
      </c>
    </row>
    <row r="476" spans="1:4" ht="14" x14ac:dyDescent="0.15">
      <c r="A476" s="322">
        <v>1621500523</v>
      </c>
      <c r="B476" s="322" t="s">
        <v>2100</v>
      </c>
      <c r="C476">
        <v>1649000692</v>
      </c>
      <c r="D476">
        <f t="shared" si="7"/>
        <v>1621500523</v>
      </c>
    </row>
    <row r="477" spans="1:4" ht="14" x14ac:dyDescent="0.15">
      <c r="A477" s="322">
        <v>1621500560</v>
      </c>
      <c r="B477" s="322" t="s">
        <v>630</v>
      </c>
      <c r="C477">
        <v>1649000693</v>
      </c>
      <c r="D477">
        <f t="shared" si="7"/>
        <v>1621500560</v>
      </c>
    </row>
    <row r="478" spans="1:4" ht="14" x14ac:dyDescent="0.15">
      <c r="A478" s="322">
        <v>1621500570</v>
      </c>
      <c r="B478" s="322" t="s">
        <v>631</v>
      </c>
      <c r="C478">
        <v>1649000694</v>
      </c>
      <c r="D478">
        <f t="shared" si="7"/>
        <v>1621500570</v>
      </c>
    </row>
    <row r="479" spans="1:4" ht="14" x14ac:dyDescent="0.15">
      <c r="A479" s="322">
        <v>1621500581</v>
      </c>
      <c r="B479" s="322" t="s">
        <v>1778</v>
      </c>
      <c r="C479">
        <v>1649000695</v>
      </c>
      <c r="D479">
        <f t="shared" si="7"/>
        <v>1621500581</v>
      </c>
    </row>
    <row r="480" spans="1:4" ht="14" x14ac:dyDescent="0.15">
      <c r="A480" s="322">
        <v>1621500780</v>
      </c>
      <c r="B480" s="322" t="s">
        <v>632</v>
      </c>
      <c r="C480">
        <v>1649000696</v>
      </c>
      <c r="D480">
        <f t="shared" si="7"/>
        <v>1621500780</v>
      </c>
    </row>
    <row r="481" spans="1:4" ht="14" x14ac:dyDescent="0.15">
      <c r="A481" s="322">
        <v>1621500930</v>
      </c>
      <c r="B481" s="322" t="s">
        <v>633</v>
      </c>
      <c r="C481">
        <v>1649100691</v>
      </c>
      <c r="D481">
        <f t="shared" si="7"/>
        <v>1621500930</v>
      </c>
    </row>
    <row r="482" spans="1:4" ht="14" x14ac:dyDescent="0.15">
      <c r="A482" s="322">
        <v>1621500981</v>
      </c>
      <c r="B482" s="322" t="s">
        <v>74</v>
      </c>
      <c r="C482">
        <v>1649100692</v>
      </c>
      <c r="D482" t="e">
        <f t="shared" si="7"/>
        <v>#N/A</v>
      </c>
    </row>
    <row r="483" spans="1:4" ht="14" x14ac:dyDescent="0.15">
      <c r="A483" s="322">
        <v>1623000110</v>
      </c>
      <c r="B483" s="322" t="s">
        <v>520</v>
      </c>
      <c r="C483">
        <v>1649100693</v>
      </c>
      <c r="D483">
        <f t="shared" si="7"/>
        <v>1623000110</v>
      </c>
    </row>
    <row r="484" spans="1:4" ht="14" x14ac:dyDescent="0.15">
      <c r="A484" s="322">
        <v>1623000210</v>
      </c>
      <c r="B484" s="322" t="s">
        <v>1528</v>
      </c>
      <c r="C484" s="182"/>
      <c r="D484" t="e">
        <f t="shared" si="7"/>
        <v>#N/A</v>
      </c>
    </row>
    <row r="485" spans="1:4" ht="14" x14ac:dyDescent="0.15">
      <c r="A485" s="322">
        <v>1623000440</v>
      </c>
      <c r="B485" s="322" t="s">
        <v>634</v>
      </c>
      <c r="C485" s="182"/>
      <c r="D485">
        <f t="shared" si="7"/>
        <v>1623000440</v>
      </c>
    </row>
    <row r="486" spans="1:4" ht="14" x14ac:dyDescent="0.15">
      <c r="A486" s="322">
        <v>1623000511</v>
      </c>
      <c r="B486" s="322" t="s">
        <v>1779</v>
      </c>
      <c r="C486">
        <v>1711000110</v>
      </c>
      <c r="D486">
        <f t="shared" si="7"/>
        <v>1623000511</v>
      </c>
    </row>
    <row r="487" spans="1:4" ht="14" x14ac:dyDescent="0.15">
      <c r="A487" s="322">
        <v>1623000521</v>
      </c>
      <c r="B487" s="322" t="s">
        <v>635</v>
      </c>
      <c r="C487">
        <v>1711000210</v>
      </c>
      <c r="D487">
        <f t="shared" si="7"/>
        <v>1623000521</v>
      </c>
    </row>
    <row r="488" spans="1:4" ht="14" x14ac:dyDescent="0.15">
      <c r="A488" s="322">
        <v>1623000530</v>
      </c>
      <c r="B488" s="322" t="s">
        <v>636</v>
      </c>
      <c r="C488">
        <v>1711000511</v>
      </c>
      <c r="D488">
        <f t="shared" si="7"/>
        <v>1623000530</v>
      </c>
    </row>
    <row r="489" spans="1:4" ht="14" x14ac:dyDescent="0.15">
      <c r="A489" s="322">
        <v>1623000560</v>
      </c>
      <c r="B489" s="322" t="s">
        <v>637</v>
      </c>
      <c r="C489">
        <v>1711000521</v>
      </c>
      <c r="D489">
        <f t="shared" si="7"/>
        <v>1623000560</v>
      </c>
    </row>
    <row r="490" spans="1:4" ht="14" x14ac:dyDescent="0.15">
      <c r="A490" s="324">
        <v>1623000561</v>
      </c>
      <c r="B490" s="322" t="s">
        <v>31</v>
      </c>
      <c r="C490">
        <v>1711000560</v>
      </c>
      <c r="D490" t="e">
        <f t="shared" si="7"/>
        <v>#N/A</v>
      </c>
    </row>
    <row r="491" spans="1:4" ht="14" x14ac:dyDescent="0.15">
      <c r="A491" s="322">
        <v>1623000570</v>
      </c>
      <c r="B491" s="322" t="s">
        <v>638</v>
      </c>
      <c r="C491">
        <v>1711000581</v>
      </c>
      <c r="D491">
        <f t="shared" si="7"/>
        <v>1623000570</v>
      </c>
    </row>
    <row r="492" spans="1:4" ht="14" x14ac:dyDescent="0.15">
      <c r="A492" s="322">
        <v>1623000580</v>
      </c>
      <c r="B492" s="322" t="s">
        <v>639</v>
      </c>
      <c r="C492">
        <v>1711000760</v>
      </c>
      <c r="D492">
        <f t="shared" si="7"/>
        <v>1623000580</v>
      </c>
    </row>
    <row r="493" spans="1:4" ht="14" x14ac:dyDescent="0.15">
      <c r="A493" s="322">
        <v>1623000720</v>
      </c>
      <c r="B493" s="322" t="s">
        <v>1780</v>
      </c>
      <c r="C493">
        <v>1711000780</v>
      </c>
      <c r="D493">
        <f t="shared" si="7"/>
        <v>1623000720</v>
      </c>
    </row>
    <row r="494" spans="1:4" ht="14" x14ac:dyDescent="0.15">
      <c r="A494" s="322">
        <v>1623000731</v>
      </c>
      <c r="B494" s="322" t="s">
        <v>103</v>
      </c>
      <c r="C494">
        <v>1711000930</v>
      </c>
      <c r="D494" t="e">
        <f t="shared" si="7"/>
        <v>#N/A</v>
      </c>
    </row>
    <row r="495" spans="1:4" ht="14" x14ac:dyDescent="0.15">
      <c r="A495" s="322">
        <v>1623000750</v>
      </c>
      <c r="B495" s="322" t="s">
        <v>640</v>
      </c>
      <c r="C495">
        <v>1711003731</v>
      </c>
      <c r="D495">
        <f t="shared" si="7"/>
        <v>1623000750</v>
      </c>
    </row>
    <row r="496" spans="1:4" ht="14" x14ac:dyDescent="0.15">
      <c r="A496" s="322">
        <v>1623000751</v>
      </c>
      <c r="B496" s="322" t="s">
        <v>641</v>
      </c>
      <c r="C496">
        <v>1711100980</v>
      </c>
      <c r="D496">
        <f t="shared" si="7"/>
        <v>1623000751</v>
      </c>
    </row>
    <row r="497" spans="1:4" ht="14" x14ac:dyDescent="0.15">
      <c r="A497" s="322">
        <v>1623000753</v>
      </c>
      <c r="B497" s="322" t="s">
        <v>32</v>
      </c>
      <c r="C497">
        <v>1712000110</v>
      </c>
      <c r="D497">
        <f t="shared" si="7"/>
        <v>1623000753</v>
      </c>
    </row>
    <row r="498" spans="1:4" ht="14" x14ac:dyDescent="0.15">
      <c r="A498" s="322">
        <v>1623000780</v>
      </c>
      <c r="B498" s="322" t="s">
        <v>642</v>
      </c>
      <c r="C498">
        <v>1712000731</v>
      </c>
      <c r="D498">
        <f t="shared" si="7"/>
        <v>1623000780</v>
      </c>
    </row>
    <row r="499" spans="1:4" ht="14" x14ac:dyDescent="0.15">
      <c r="A499" s="322">
        <v>1623000930</v>
      </c>
      <c r="B499" s="322" t="s">
        <v>643</v>
      </c>
      <c r="C499">
        <v>1712001731</v>
      </c>
      <c r="D499">
        <f t="shared" si="7"/>
        <v>1623000930</v>
      </c>
    </row>
    <row r="500" spans="1:4" ht="14" x14ac:dyDescent="0.15">
      <c r="A500" s="322">
        <v>1623000980</v>
      </c>
      <c r="B500" s="322" t="s">
        <v>1781</v>
      </c>
      <c r="C500">
        <v>1712002731</v>
      </c>
      <c r="D500">
        <f t="shared" si="7"/>
        <v>1623000980</v>
      </c>
    </row>
    <row r="501" spans="1:4" ht="14" x14ac:dyDescent="0.15">
      <c r="A501" s="322">
        <v>1623000981</v>
      </c>
      <c r="B501" s="322" t="s">
        <v>74</v>
      </c>
      <c r="C501">
        <v>1712003731</v>
      </c>
      <c r="D501" t="e">
        <f t="shared" si="7"/>
        <v>#N/A</v>
      </c>
    </row>
    <row r="502" spans="1:4" ht="14" x14ac:dyDescent="0.15">
      <c r="A502" s="322">
        <v>1623100530</v>
      </c>
      <c r="B502" s="322" t="s">
        <v>2101</v>
      </c>
      <c r="C502">
        <v>1712004731</v>
      </c>
      <c r="D502">
        <f t="shared" si="7"/>
        <v>1623100530</v>
      </c>
    </row>
    <row r="503" spans="1:4" ht="14" x14ac:dyDescent="0.15">
      <c r="A503" s="322">
        <v>1623100731</v>
      </c>
      <c r="B503" s="322" t="s">
        <v>1782</v>
      </c>
      <c r="C503">
        <v>1712005731</v>
      </c>
      <c r="D503">
        <f t="shared" si="7"/>
        <v>1623100731</v>
      </c>
    </row>
    <row r="504" spans="1:4" ht="14" x14ac:dyDescent="0.15">
      <c r="A504" s="322">
        <v>1624000110</v>
      </c>
      <c r="B504" s="322" t="s">
        <v>1603</v>
      </c>
      <c r="C504">
        <v>1712006731</v>
      </c>
      <c r="D504">
        <f t="shared" si="7"/>
        <v>1624000110</v>
      </c>
    </row>
    <row r="505" spans="1:4" ht="14" x14ac:dyDescent="0.15">
      <c r="A505" s="322">
        <v>1624000511</v>
      </c>
      <c r="B505" s="322" t="s">
        <v>1783</v>
      </c>
      <c r="C505">
        <v>1712200110</v>
      </c>
      <c r="D505">
        <f t="shared" si="7"/>
        <v>1624000511</v>
      </c>
    </row>
    <row r="506" spans="1:4" ht="14" x14ac:dyDescent="0.15">
      <c r="A506" s="322">
        <v>1624000560</v>
      </c>
      <c r="B506" s="322" t="s">
        <v>1784</v>
      </c>
      <c r="C506">
        <v>1712200430</v>
      </c>
      <c r="D506">
        <f t="shared" si="7"/>
        <v>1624000560</v>
      </c>
    </row>
    <row r="507" spans="1:4" ht="14" x14ac:dyDescent="0.15">
      <c r="A507" s="322">
        <v>1624000780</v>
      </c>
      <c r="B507" s="322" t="s">
        <v>1785</v>
      </c>
      <c r="C507">
        <v>1712200751</v>
      </c>
      <c r="D507">
        <f t="shared" si="7"/>
        <v>1624000780</v>
      </c>
    </row>
    <row r="508" spans="1:4" ht="14" x14ac:dyDescent="0.15">
      <c r="A508" s="322">
        <v>1624000930</v>
      </c>
      <c r="B508" s="322" t="s">
        <v>1604</v>
      </c>
      <c r="C508">
        <v>1712200752</v>
      </c>
      <c r="D508">
        <f t="shared" si="7"/>
        <v>1624000930</v>
      </c>
    </row>
    <row r="509" spans="1:4" ht="14" x14ac:dyDescent="0.15">
      <c r="A509" s="322">
        <v>1631000610</v>
      </c>
      <c r="B509" s="322" t="s">
        <v>1069</v>
      </c>
      <c r="C509">
        <v>1712200753</v>
      </c>
      <c r="D509">
        <f t="shared" si="7"/>
        <v>1631000610</v>
      </c>
    </row>
    <row r="510" spans="1:4" ht="14" x14ac:dyDescent="0.15">
      <c r="A510" s="322">
        <v>1631100610</v>
      </c>
      <c r="B510" s="322" t="s">
        <v>1070</v>
      </c>
      <c r="C510">
        <v>1712200754</v>
      </c>
      <c r="D510">
        <f t="shared" si="7"/>
        <v>1631100610</v>
      </c>
    </row>
    <row r="511" spans="1:4" ht="14" x14ac:dyDescent="0.15">
      <c r="A511" s="322">
        <v>1632000620</v>
      </c>
      <c r="B511" s="322" t="s">
        <v>1071</v>
      </c>
      <c r="C511">
        <v>1712200755</v>
      </c>
      <c r="D511">
        <f t="shared" si="7"/>
        <v>1632000620</v>
      </c>
    </row>
    <row r="512" spans="1:4" ht="14" x14ac:dyDescent="0.15">
      <c r="A512" s="322">
        <v>1632000622</v>
      </c>
      <c r="B512" s="322" t="s">
        <v>1128</v>
      </c>
      <c r="C512">
        <v>1712201731</v>
      </c>
      <c r="D512" t="e">
        <f t="shared" si="7"/>
        <v>#N/A</v>
      </c>
    </row>
    <row r="513" spans="1:4" ht="14" x14ac:dyDescent="0.15">
      <c r="A513" s="322">
        <v>1632000623</v>
      </c>
      <c r="B513" s="322" t="s">
        <v>1072</v>
      </c>
      <c r="C513">
        <v>1712210750</v>
      </c>
      <c r="D513">
        <f t="shared" si="7"/>
        <v>1632000623</v>
      </c>
    </row>
    <row r="514" spans="1:4" ht="14" x14ac:dyDescent="0.15">
      <c r="A514" s="322">
        <v>1649000691</v>
      </c>
      <c r="B514" s="322" t="s">
        <v>1226</v>
      </c>
      <c r="C514">
        <v>1712210751</v>
      </c>
      <c r="D514">
        <f t="shared" si="7"/>
        <v>1649000691</v>
      </c>
    </row>
    <row r="515" spans="1:4" ht="14" x14ac:dyDescent="0.15">
      <c r="A515" s="322">
        <v>1649000692</v>
      </c>
      <c r="B515" s="322" t="s">
        <v>34</v>
      </c>
      <c r="C515">
        <v>1712300110</v>
      </c>
      <c r="D515">
        <f t="shared" si="7"/>
        <v>1649000692</v>
      </c>
    </row>
    <row r="516" spans="1:4" ht="14" x14ac:dyDescent="0.15">
      <c r="A516" s="322">
        <v>1649000693</v>
      </c>
      <c r="B516" s="322" t="s">
        <v>35</v>
      </c>
      <c r="C516">
        <v>1712300560</v>
      </c>
      <c r="D516">
        <f t="shared" ref="D516:D579" si="8">VLOOKUP(A516,$C$3:$C$1296,1,FALSE)</f>
        <v>1649000693</v>
      </c>
    </row>
    <row r="517" spans="1:4" ht="14" x14ac:dyDescent="0.15">
      <c r="A517" s="322">
        <v>1649000694</v>
      </c>
      <c r="B517" s="322" t="s">
        <v>1064</v>
      </c>
      <c r="C517">
        <v>1712300750</v>
      </c>
      <c r="D517">
        <f t="shared" si="8"/>
        <v>1649000694</v>
      </c>
    </row>
    <row r="518" spans="1:4" ht="14" x14ac:dyDescent="0.15">
      <c r="A518" s="322">
        <v>1649000695</v>
      </c>
      <c r="B518" s="322" t="s">
        <v>1065</v>
      </c>
      <c r="C518">
        <v>1712300752</v>
      </c>
      <c r="D518">
        <f t="shared" si="8"/>
        <v>1649000695</v>
      </c>
    </row>
    <row r="519" spans="1:4" ht="14" x14ac:dyDescent="0.15">
      <c r="A519" s="322">
        <v>1649000696</v>
      </c>
      <c r="B519" s="322" t="s">
        <v>1066</v>
      </c>
      <c r="C519">
        <v>1712300753</v>
      </c>
      <c r="D519">
        <f t="shared" si="8"/>
        <v>1649000696</v>
      </c>
    </row>
    <row r="520" spans="1:4" ht="14" x14ac:dyDescent="0.15">
      <c r="A520" s="322">
        <v>1649100691</v>
      </c>
      <c r="B520" s="322" t="s">
        <v>1059</v>
      </c>
      <c r="C520">
        <v>1712300755</v>
      </c>
      <c r="D520">
        <f t="shared" si="8"/>
        <v>1649100691</v>
      </c>
    </row>
    <row r="521" spans="1:4" ht="14" x14ac:dyDescent="0.15">
      <c r="A521" s="322">
        <v>1649100692</v>
      </c>
      <c r="B521" s="322" t="s">
        <v>1060</v>
      </c>
      <c r="C521">
        <v>1712300756</v>
      </c>
      <c r="D521">
        <f t="shared" si="8"/>
        <v>1649100692</v>
      </c>
    </row>
    <row r="522" spans="1:4" ht="14" x14ac:dyDescent="0.15">
      <c r="A522" s="322">
        <v>1649100693</v>
      </c>
      <c r="B522" s="322" t="s">
        <v>1061</v>
      </c>
      <c r="C522">
        <v>1712300757</v>
      </c>
      <c r="D522">
        <f t="shared" si="8"/>
        <v>1649100693</v>
      </c>
    </row>
    <row r="523" spans="1:4" ht="14" x14ac:dyDescent="0.15">
      <c r="A523" s="322">
        <v>1700000981</v>
      </c>
      <c r="B523" s="322" t="s">
        <v>74</v>
      </c>
      <c r="C523">
        <v>1712303731</v>
      </c>
      <c r="D523" t="e">
        <f t="shared" si="8"/>
        <v>#N/A</v>
      </c>
    </row>
    <row r="524" spans="1:4" ht="14" x14ac:dyDescent="0.15">
      <c r="A524" s="322">
        <v>1711000110</v>
      </c>
      <c r="B524" s="322" t="s">
        <v>521</v>
      </c>
      <c r="C524">
        <v>1712304731</v>
      </c>
      <c r="D524">
        <f t="shared" si="8"/>
        <v>1711000110</v>
      </c>
    </row>
    <row r="525" spans="1:4" ht="14" x14ac:dyDescent="0.15">
      <c r="A525" s="322">
        <v>1711000210</v>
      </c>
      <c r="B525" s="322" t="s">
        <v>1483</v>
      </c>
      <c r="C525">
        <v>1712306731</v>
      </c>
      <c r="D525">
        <f t="shared" si="8"/>
        <v>1711000210</v>
      </c>
    </row>
    <row r="526" spans="1:4" ht="14" x14ac:dyDescent="0.15">
      <c r="A526" s="322">
        <v>1711000511</v>
      </c>
      <c r="B526" s="322" t="s">
        <v>644</v>
      </c>
      <c r="C526">
        <v>1712310110</v>
      </c>
      <c r="D526">
        <f t="shared" si="8"/>
        <v>1711000511</v>
      </c>
    </row>
    <row r="527" spans="1:4" ht="14" x14ac:dyDescent="0.15">
      <c r="A527" s="324">
        <v>1711000512</v>
      </c>
      <c r="B527" s="322" t="s">
        <v>645</v>
      </c>
      <c r="C527">
        <v>1712311731</v>
      </c>
      <c r="D527" t="e">
        <f t="shared" si="8"/>
        <v>#N/A</v>
      </c>
    </row>
    <row r="528" spans="1:4" ht="14" x14ac:dyDescent="0.15">
      <c r="A528" s="322">
        <v>1711000521</v>
      </c>
      <c r="B528" s="322" t="s">
        <v>646</v>
      </c>
      <c r="C528">
        <v>1712312731</v>
      </c>
      <c r="D528">
        <f t="shared" si="8"/>
        <v>1711000521</v>
      </c>
    </row>
    <row r="529" spans="1:4" ht="14" x14ac:dyDescent="0.15">
      <c r="A529" s="322">
        <v>1711000560</v>
      </c>
      <c r="B529" s="322" t="s">
        <v>647</v>
      </c>
      <c r="C529">
        <v>1712314731</v>
      </c>
      <c r="D529">
        <f t="shared" si="8"/>
        <v>1711000560</v>
      </c>
    </row>
    <row r="530" spans="1:4" ht="14" x14ac:dyDescent="0.15">
      <c r="A530" s="324">
        <v>1711000580</v>
      </c>
      <c r="B530" s="322" t="s">
        <v>648</v>
      </c>
      <c r="C530">
        <v>1712316731</v>
      </c>
      <c r="D530" t="e">
        <f t="shared" si="8"/>
        <v>#N/A</v>
      </c>
    </row>
    <row r="531" spans="1:4" ht="14" x14ac:dyDescent="0.15">
      <c r="A531" s="322">
        <v>1711000581</v>
      </c>
      <c r="B531" s="322" t="s">
        <v>1787</v>
      </c>
      <c r="C531">
        <v>1712400530</v>
      </c>
      <c r="D531">
        <f t="shared" si="8"/>
        <v>1711000581</v>
      </c>
    </row>
    <row r="532" spans="1:4" ht="14" x14ac:dyDescent="0.15">
      <c r="A532" s="322">
        <v>1711000731</v>
      </c>
      <c r="B532" s="322" t="s">
        <v>1527</v>
      </c>
      <c r="C532">
        <v>1712409530</v>
      </c>
      <c r="D532" t="e">
        <f t="shared" si="8"/>
        <v>#N/A</v>
      </c>
    </row>
    <row r="533" spans="1:4" ht="14" x14ac:dyDescent="0.15">
      <c r="A533" s="322">
        <v>1711000760</v>
      </c>
      <c r="B533" s="322" t="s">
        <v>552</v>
      </c>
      <c r="C533">
        <v>1712409731</v>
      </c>
      <c r="D533">
        <f t="shared" si="8"/>
        <v>1711000760</v>
      </c>
    </row>
    <row r="534" spans="1:4" ht="14" x14ac:dyDescent="0.15">
      <c r="A534" s="322">
        <v>1711000780</v>
      </c>
      <c r="B534" s="322" t="s">
        <v>650</v>
      </c>
      <c r="C534">
        <v>1712500110</v>
      </c>
      <c r="D534">
        <f t="shared" si="8"/>
        <v>1711000780</v>
      </c>
    </row>
    <row r="535" spans="1:4" ht="14" x14ac:dyDescent="0.15">
      <c r="A535" s="322">
        <v>1711000930</v>
      </c>
      <c r="B535" s="322" t="s">
        <v>651</v>
      </c>
      <c r="C535">
        <v>1712500750</v>
      </c>
      <c r="D535">
        <f t="shared" si="8"/>
        <v>1711000930</v>
      </c>
    </row>
    <row r="536" spans="1:4" ht="14" x14ac:dyDescent="0.15">
      <c r="A536" s="322">
        <v>1711003731</v>
      </c>
      <c r="B536" s="322" t="s">
        <v>113</v>
      </c>
      <c r="C536">
        <v>1712500751</v>
      </c>
      <c r="D536">
        <f t="shared" si="8"/>
        <v>1711003731</v>
      </c>
    </row>
    <row r="537" spans="1:4" ht="14" x14ac:dyDescent="0.15">
      <c r="A537" s="322">
        <v>1711100980</v>
      </c>
      <c r="B537" s="322" t="s">
        <v>652</v>
      </c>
      <c r="C537">
        <v>1712500780</v>
      </c>
      <c r="D537">
        <f t="shared" si="8"/>
        <v>1711100980</v>
      </c>
    </row>
    <row r="538" spans="1:4" ht="14" x14ac:dyDescent="0.15">
      <c r="A538" s="322">
        <v>1712000110</v>
      </c>
      <c r="B538" s="322" t="s">
        <v>38</v>
      </c>
      <c r="C538">
        <v>1712501731</v>
      </c>
      <c r="D538">
        <f t="shared" si="8"/>
        <v>1712000110</v>
      </c>
    </row>
    <row r="539" spans="1:4" ht="14" x14ac:dyDescent="0.15">
      <c r="A539" s="322">
        <v>1712000731</v>
      </c>
      <c r="B539" s="322" t="s">
        <v>46</v>
      </c>
      <c r="C539">
        <v>1712503731</v>
      </c>
      <c r="D539">
        <f t="shared" si="8"/>
        <v>1712000731</v>
      </c>
    </row>
    <row r="540" spans="1:4" ht="14" x14ac:dyDescent="0.15">
      <c r="A540" s="322">
        <v>1712000750</v>
      </c>
      <c r="B540" s="322" t="s">
        <v>714</v>
      </c>
      <c r="C540">
        <v>1712506731</v>
      </c>
      <c r="D540" t="e">
        <f t="shared" si="8"/>
        <v>#N/A</v>
      </c>
    </row>
    <row r="541" spans="1:4" ht="14" x14ac:dyDescent="0.15">
      <c r="A541" s="324">
        <v>1712000910</v>
      </c>
      <c r="B541" s="322" t="s">
        <v>2102</v>
      </c>
      <c r="C541">
        <v>1712509530</v>
      </c>
      <c r="D541" t="e">
        <f t="shared" si="8"/>
        <v>#N/A</v>
      </c>
    </row>
    <row r="542" spans="1:4" ht="14" x14ac:dyDescent="0.15">
      <c r="A542" s="322">
        <v>1712001731</v>
      </c>
      <c r="B542" s="322" t="s">
        <v>47</v>
      </c>
      <c r="C542">
        <v>1712600731</v>
      </c>
      <c r="D542">
        <f t="shared" si="8"/>
        <v>1712001731</v>
      </c>
    </row>
    <row r="543" spans="1:4" ht="14" x14ac:dyDescent="0.15">
      <c r="A543" s="322">
        <v>1712002731</v>
      </c>
      <c r="B543" s="322" t="s">
        <v>256</v>
      </c>
      <c r="C543">
        <v>1712800731</v>
      </c>
      <c r="D543">
        <f t="shared" si="8"/>
        <v>1712002731</v>
      </c>
    </row>
    <row r="544" spans="1:4" ht="14" x14ac:dyDescent="0.15">
      <c r="A544" s="322">
        <v>1712003731</v>
      </c>
      <c r="B544" s="322" t="s">
        <v>257</v>
      </c>
      <c r="C544">
        <v>1713000731</v>
      </c>
      <c r="D544">
        <f t="shared" si="8"/>
        <v>1712003731</v>
      </c>
    </row>
    <row r="545" spans="1:4" ht="14" x14ac:dyDescent="0.15">
      <c r="A545" s="322">
        <v>1712004731</v>
      </c>
      <c r="B545" s="322" t="s">
        <v>104</v>
      </c>
      <c r="C545">
        <v>1713001731</v>
      </c>
      <c r="D545">
        <f t="shared" si="8"/>
        <v>1712004731</v>
      </c>
    </row>
    <row r="546" spans="1:4" ht="14" x14ac:dyDescent="0.15">
      <c r="A546" s="322">
        <v>1712005731</v>
      </c>
      <c r="B546" s="322" t="s">
        <v>1526</v>
      </c>
      <c r="C546">
        <v>1713002731</v>
      </c>
      <c r="D546">
        <f t="shared" si="8"/>
        <v>1712005731</v>
      </c>
    </row>
    <row r="547" spans="1:4" ht="14" x14ac:dyDescent="0.15">
      <c r="A547" s="322">
        <v>1712006731</v>
      </c>
      <c r="B547" s="322" t="s">
        <v>1525</v>
      </c>
      <c r="C547">
        <v>1713200110</v>
      </c>
      <c r="D547">
        <f t="shared" si="8"/>
        <v>1712006731</v>
      </c>
    </row>
    <row r="548" spans="1:4" ht="14" x14ac:dyDescent="0.15">
      <c r="A548" s="322">
        <v>1712200110</v>
      </c>
      <c r="B548" s="322" t="s">
        <v>521</v>
      </c>
      <c r="C548">
        <v>1714000110</v>
      </c>
      <c r="D548">
        <f t="shared" si="8"/>
        <v>1712200110</v>
      </c>
    </row>
    <row r="549" spans="1:4" ht="14" x14ac:dyDescent="0.15">
      <c r="A549" s="322">
        <v>1712200430</v>
      </c>
      <c r="B549" s="322" t="s">
        <v>1788</v>
      </c>
      <c r="C549">
        <v>1714000210</v>
      </c>
      <c r="D549">
        <f t="shared" si="8"/>
        <v>1712200430</v>
      </c>
    </row>
    <row r="550" spans="1:4" ht="14" x14ac:dyDescent="0.15">
      <c r="A550" s="322">
        <v>1712200731</v>
      </c>
      <c r="B550" s="322" t="s">
        <v>105</v>
      </c>
      <c r="C550">
        <v>1714200523</v>
      </c>
      <c r="D550" t="e">
        <f t="shared" si="8"/>
        <v>#N/A</v>
      </c>
    </row>
    <row r="551" spans="1:4" ht="14" x14ac:dyDescent="0.15">
      <c r="A551" s="322">
        <v>1712200740</v>
      </c>
      <c r="B551" s="322" t="s">
        <v>654</v>
      </c>
      <c r="C551">
        <v>1714200560</v>
      </c>
      <c r="D551" t="e">
        <f t="shared" si="8"/>
        <v>#N/A</v>
      </c>
    </row>
    <row r="552" spans="1:4" ht="14" x14ac:dyDescent="0.15">
      <c r="A552" s="322">
        <v>1712200750</v>
      </c>
      <c r="B552" s="322" t="s">
        <v>655</v>
      </c>
      <c r="C552">
        <v>1714200570</v>
      </c>
      <c r="D552" t="e">
        <f t="shared" si="8"/>
        <v>#N/A</v>
      </c>
    </row>
    <row r="553" spans="1:4" ht="14" x14ac:dyDescent="0.15">
      <c r="A553" s="322">
        <v>1712200751</v>
      </c>
      <c r="B553" s="322" t="s">
        <v>656</v>
      </c>
      <c r="C553">
        <v>1714200580</v>
      </c>
      <c r="D553">
        <f t="shared" si="8"/>
        <v>1712200751</v>
      </c>
    </row>
    <row r="554" spans="1:4" ht="14" x14ac:dyDescent="0.15">
      <c r="A554" s="322">
        <v>1712200752</v>
      </c>
      <c r="B554" s="322" t="s">
        <v>657</v>
      </c>
      <c r="C554">
        <v>1714200581</v>
      </c>
      <c r="D554">
        <f t="shared" si="8"/>
        <v>1712200752</v>
      </c>
    </row>
    <row r="555" spans="1:4" ht="14" x14ac:dyDescent="0.15">
      <c r="A555" s="322">
        <v>1712200753</v>
      </c>
      <c r="B555" s="322" t="s">
        <v>658</v>
      </c>
      <c r="C555">
        <v>1714200720</v>
      </c>
      <c r="D555">
        <f t="shared" si="8"/>
        <v>1712200753</v>
      </c>
    </row>
    <row r="556" spans="1:4" ht="14" x14ac:dyDescent="0.15">
      <c r="A556" s="322">
        <v>1712200754</v>
      </c>
      <c r="B556" s="322" t="s">
        <v>1550</v>
      </c>
      <c r="C556">
        <v>1714200731</v>
      </c>
      <c r="D556">
        <f t="shared" si="8"/>
        <v>1712200754</v>
      </c>
    </row>
    <row r="557" spans="1:4" ht="14" x14ac:dyDescent="0.15">
      <c r="A557" s="322">
        <v>1712200755</v>
      </c>
      <c r="B557" s="322" t="s">
        <v>1643</v>
      </c>
      <c r="C557">
        <v>1714200781</v>
      </c>
      <c r="D557">
        <f t="shared" si="8"/>
        <v>1712200755</v>
      </c>
    </row>
    <row r="558" spans="1:4" ht="14" x14ac:dyDescent="0.15">
      <c r="A558" s="322">
        <v>1712201731</v>
      </c>
      <c r="B558" s="322" t="s">
        <v>659</v>
      </c>
      <c r="C558">
        <v>1714200930</v>
      </c>
      <c r="D558">
        <f t="shared" si="8"/>
        <v>1712201731</v>
      </c>
    </row>
    <row r="559" spans="1:4" ht="14" x14ac:dyDescent="0.15">
      <c r="A559" s="322">
        <v>1712202731</v>
      </c>
      <c r="B559" s="322" t="s">
        <v>106</v>
      </c>
      <c r="C559">
        <v>1714300731</v>
      </c>
      <c r="D559" t="e">
        <f t="shared" si="8"/>
        <v>#N/A</v>
      </c>
    </row>
    <row r="560" spans="1:4" ht="14" x14ac:dyDescent="0.15">
      <c r="A560" s="322">
        <v>1712203731</v>
      </c>
      <c r="B560" s="322" t="s">
        <v>107</v>
      </c>
      <c r="C560">
        <v>1714300830</v>
      </c>
      <c r="D560" t="e">
        <f t="shared" si="8"/>
        <v>#N/A</v>
      </c>
    </row>
    <row r="561" spans="1:4" ht="14" x14ac:dyDescent="0.15">
      <c r="A561" s="322">
        <v>1712204731</v>
      </c>
      <c r="B561" s="322" t="s">
        <v>108</v>
      </c>
      <c r="C561">
        <v>1715200110</v>
      </c>
      <c r="D561" t="e">
        <f t="shared" si="8"/>
        <v>#N/A</v>
      </c>
    </row>
    <row r="562" spans="1:4" ht="14" x14ac:dyDescent="0.15">
      <c r="A562" s="322">
        <v>1712205731</v>
      </c>
      <c r="B562" s="322" t="s">
        <v>109</v>
      </c>
      <c r="C562">
        <v>1715200511</v>
      </c>
      <c r="D562" t="e">
        <f t="shared" si="8"/>
        <v>#N/A</v>
      </c>
    </row>
    <row r="563" spans="1:4" ht="14" x14ac:dyDescent="0.15">
      <c r="A563" s="322">
        <v>1712210750</v>
      </c>
      <c r="B563" s="322" t="s">
        <v>75</v>
      </c>
      <c r="C563">
        <v>1715200512</v>
      </c>
      <c r="D563">
        <f t="shared" si="8"/>
        <v>1712210750</v>
      </c>
    </row>
    <row r="564" spans="1:4" ht="14" x14ac:dyDescent="0.15">
      <c r="A564" s="322">
        <v>1712210751</v>
      </c>
      <c r="B564" s="322" t="s">
        <v>1547</v>
      </c>
      <c r="C564">
        <v>1715200570</v>
      </c>
      <c r="D564">
        <f t="shared" si="8"/>
        <v>1712210751</v>
      </c>
    </row>
    <row r="565" spans="1:4" ht="14" x14ac:dyDescent="0.15">
      <c r="A565" s="322">
        <v>1712300110</v>
      </c>
      <c r="B565" s="322" t="s">
        <v>522</v>
      </c>
      <c r="C565">
        <v>1715200720</v>
      </c>
      <c r="D565">
        <f t="shared" si="8"/>
        <v>1712300110</v>
      </c>
    </row>
    <row r="566" spans="1:4" ht="14" x14ac:dyDescent="0.15">
      <c r="A566" s="322">
        <v>1712300560</v>
      </c>
      <c r="B566" s="322" t="s">
        <v>664</v>
      </c>
      <c r="C566">
        <v>1715200780</v>
      </c>
      <c r="D566">
        <f t="shared" si="8"/>
        <v>1712300560</v>
      </c>
    </row>
    <row r="567" spans="1:4" ht="14" x14ac:dyDescent="0.15">
      <c r="A567" s="322">
        <v>1712300740</v>
      </c>
      <c r="B567" s="322" t="s">
        <v>665</v>
      </c>
      <c r="C567">
        <v>1715300750</v>
      </c>
      <c r="D567" t="e">
        <f t="shared" si="8"/>
        <v>#N/A</v>
      </c>
    </row>
    <row r="568" spans="1:4" ht="14" x14ac:dyDescent="0.15">
      <c r="A568" s="322">
        <v>1712300750</v>
      </c>
      <c r="B568" s="322" t="s">
        <v>666</v>
      </c>
      <c r="C568" s="182"/>
      <c r="D568">
        <f t="shared" si="8"/>
        <v>1712300750</v>
      </c>
    </row>
    <row r="569" spans="1:4" ht="14" x14ac:dyDescent="0.15">
      <c r="A569" s="322">
        <v>1712300751</v>
      </c>
      <c r="B569" s="322" t="s">
        <v>667</v>
      </c>
      <c r="C569" s="182"/>
      <c r="D569" t="e">
        <f t="shared" si="8"/>
        <v>#N/A</v>
      </c>
    </row>
    <row r="570" spans="1:4" ht="14" x14ac:dyDescent="0.15">
      <c r="A570" s="322">
        <v>1712300752</v>
      </c>
      <c r="B570" s="322" t="s">
        <v>668</v>
      </c>
      <c r="C570">
        <v>1721000110</v>
      </c>
      <c r="D570">
        <f t="shared" si="8"/>
        <v>1712300752</v>
      </c>
    </row>
    <row r="571" spans="1:4" ht="14" x14ac:dyDescent="0.15">
      <c r="A571" s="322">
        <v>1712300753</v>
      </c>
      <c r="B571" s="322" t="s">
        <v>669</v>
      </c>
      <c r="C571">
        <v>1722000110</v>
      </c>
      <c r="D571">
        <f t="shared" si="8"/>
        <v>1712300753</v>
      </c>
    </row>
    <row r="572" spans="1:4" ht="14" x14ac:dyDescent="0.15">
      <c r="A572" s="322">
        <v>1712300754</v>
      </c>
      <c r="B572" s="322" t="s">
        <v>670</v>
      </c>
      <c r="C572">
        <v>1722000210</v>
      </c>
      <c r="D572" t="e">
        <f t="shared" si="8"/>
        <v>#N/A</v>
      </c>
    </row>
    <row r="573" spans="1:4" ht="14" x14ac:dyDescent="0.15">
      <c r="A573" s="322">
        <v>1712300755</v>
      </c>
      <c r="B573" s="322" t="s">
        <v>671</v>
      </c>
      <c r="C573">
        <v>1722000430</v>
      </c>
      <c r="D573">
        <f t="shared" si="8"/>
        <v>1712300755</v>
      </c>
    </row>
    <row r="574" spans="1:4" ht="14" x14ac:dyDescent="0.15">
      <c r="A574" s="322">
        <v>1712300756</v>
      </c>
      <c r="B574" s="322" t="s">
        <v>1229</v>
      </c>
      <c r="C574">
        <v>1722000511</v>
      </c>
      <c r="D574">
        <f t="shared" si="8"/>
        <v>1712300756</v>
      </c>
    </row>
    <row r="575" spans="1:4" ht="14" x14ac:dyDescent="0.15">
      <c r="A575" s="322">
        <v>1712300757</v>
      </c>
      <c r="B575" s="322" t="s">
        <v>1523</v>
      </c>
      <c r="C575">
        <v>1722000540</v>
      </c>
      <c r="D575">
        <f t="shared" si="8"/>
        <v>1712300757</v>
      </c>
    </row>
    <row r="576" spans="1:4" ht="14" x14ac:dyDescent="0.15">
      <c r="A576" s="324">
        <v>1712300781</v>
      </c>
      <c r="B576" s="322" t="s">
        <v>2103</v>
      </c>
      <c r="C576">
        <v>1722000550</v>
      </c>
      <c r="D576" t="e">
        <f t="shared" si="8"/>
        <v>#N/A</v>
      </c>
    </row>
    <row r="577" spans="1:4" ht="14" x14ac:dyDescent="0.15">
      <c r="A577" s="322">
        <v>1712303731</v>
      </c>
      <c r="B577" s="322" t="s">
        <v>2104</v>
      </c>
      <c r="C577">
        <v>1722000560</v>
      </c>
      <c r="D577">
        <f t="shared" si="8"/>
        <v>1712303731</v>
      </c>
    </row>
    <row r="578" spans="1:4" ht="14" x14ac:dyDescent="0.15">
      <c r="A578" s="322">
        <v>1712304731</v>
      </c>
      <c r="B578" s="322" t="s">
        <v>673</v>
      </c>
      <c r="C578">
        <v>1722000581</v>
      </c>
      <c r="D578">
        <f t="shared" si="8"/>
        <v>1712304731</v>
      </c>
    </row>
    <row r="579" spans="1:4" ht="14" x14ac:dyDescent="0.15">
      <c r="A579" s="322">
        <v>1712305731</v>
      </c>
      <c r="B579" s="322" t="s">
        <v>110</v>
      </c>
      <c r="C579">
        <v>1722000750</v>
      </c>
      <c r="D579" t="e">
        <f t="shared" si="8"/>
        <v>#N/A</v>
      </c>
    </row>
    <row r="580" spans="1:4" ht="14" x14ac:dyDescent="0.15">
      <c r="A580" s="322">
        <v>1712306731</v>
      </c>
      <c r="B580" s="322" t="s">
        <v>1230</v>
      </c>
      <c r="C580">
        <v>1722000751</v>
      </c>
      <c r="D580">
        <f t="shared" ref="D580:D643" si="9">VLOOKUP(A580,$C$3:$C$1296,1,FALSE)</f>
        <v>1712306731</v>
      </c>
    </row>
    <row r="581" spans="1:4" ht="14" x14ac:dyDescent="0.15">
      <c r="A581" s="322">
        <v>1712307731</v>
      </c>
      <c r="B581" s="322" t="s">
        <v>111</v>
      </c>
      <c r="C581">
        <v>1722000753</v>
      </c>
      <c r="D581" t="e">
        <f t="shared" si="9"/>
        <v>#N/A</v>
      </c>
    </row>
    <row r="582" spans="1:4" ht="14" x14ac:dyDescent="0.15">
      <c r="A582" s="322">
        <v>1712309530</v>
      </c>
      <c r="B582" s="322" t="s">
        <v>1522</v>
      </c>
      <c r="C582">
        <v>1722000754</v>
      </c>
      <c r="D582" t="e">
        <f t="shared" si="9"/>
        <v>#N/A</v>
      </c>
    </row>
    <row r="583" spans="1:4" ht="14" x14ac:dyDescent="0.15">
      <c r="A583" s="322">
        <v>1712309731</v>
      </c>
      <c r="B583" s="322" t="s">
        <v>1521</v>
      </c>
      <c r="C583">
        <v>1722000755</v>
      </c>
      <c r="D583" t="e">
        <f t="shared" si="9"/>
        <v>#N/A</v>
      </c>
    </row>
    <row r="584" spans="1:4" ht="14" x14ac:dyDescent="0.15">
      <c r="A584" s="322">
        <v>1712310110</v>
      </c>
      <c r="B584" s="322" t="s">
        <v>1520</v>
      </c>
      <c r="C584">
        <v>1722000756</v>
      </c>
      <c r="D584">
        <f t="shared" si="9"/>
        <v>1712310110</v>
      </c>
    </row>
    <row r="585" spans="1:4" ht="14" x14ac:dyDescent="0.15">
      <c r="A585" s="322">
        <v>1712311731</v>
      </c>
      <c r="B585" s="322" t="s">
        <v>2105</v>
      </c>
      <c r="C585">
        <v>1722000757</v>
      </c>
      <c r="D585">
        <f t="shared" si="9"/>
        <v>1712311731</v>
      </c>
    </row>
    <row r="586" spans="1:4" ht="14" x14ac:dyDescent="0.15">
      <c r="A586" s="322">
        <v>1712312731</v>
      </c>
      <c r="B586" s="322" t="s">
        <v>678</v>
      </c>
      <c r="C586">
        <v>1722000910</v>
      </c>
      <c r="D586">
        <f t="shared" si="9"/>
        <v>1712312731</v>
      </c>
    </row>
    <row r="587" spans="1:4" ht="14" x14ac:dyDescent="0.15">
      <c r="A587" s="322">
        <v>1712314731</v>
      </c>
      <c r="B587" s="322" t="s">
        <v>2106</v>
      </c>
      <c r="C587">
        <v>1722000930</v>
      </c>
      <c r="D587">
        <f t="shared" si="9"/>
        <v>1712314731</v>
      </c>
    </row>
    <row r="588" spans="1:4" ht="14" x14ac:dyDescent="0.15">
      <c r="A588" s="322">
        <v>1712316731</v>
      </c>
      <c r="B588" s="322" t="s">
        <v>2107</v>
      </c>
      <c r="C588">
        <v>1722000980</v>
      </c>
      <c r="D588">
        <f t="shared" si="9"/>
        <v>1712316731</v>
      </c>
    </row>
    <row r="589" spans="1:4" ht="14" x14ac:dyDescent="0.15">
      <c r="A589" s="324">
        <v>1712323731</v>
      </c>
      <c r="B589" s="322" t="s">
        <v>2108</v>
      </c>
      <c r="C589">
        <v>1722001731</v>
      </c>
      <c r="D589" t="e">
        <f t="shared" si="9"/>
        <v>#N/A</v>
      </c>
    </row>
    <row r="590" spans="1:4" ht="14" x14ac:dyDescent="0.15">
      <c r="A590" s="322">
        <v>1712400530</v>
      </c>
      <c r="B590" s="322" t="s">
        <v>2109</v>
      </c>
      <c r="C590">
        <v>1722002530</v>
      </c>
      <c r="D590">
        <f t="shared" si="9"/>
        <v>1712400530</v>
      </c>
    </row>
    <row r="591" spans="1:4" ht="14" x14ac:dyDescent="0.15">
      <c r="A591" s="322">
        <v>1712409530</v>
      </c>
      <c r="B591" s="322" t="s">
        <v>1790</v>
      </c>
      <c r="C591">
        <v>1722003530</v>
      </c>
      <c r="D591">
        <f t="shared" si="9"/>
        <v>1712409530</v>
      </c>
    </row>
    <row r="592" spans="1:4" ht="14" x14ac:dyDescent="0.15">
      <c r="A592" s="322">
        <v>1712409731</v>
      </c>
      <c r="B592" s="322" t="s">
        <v>1518</v>
      </c>
      <c r="C592">
        <v>1722004731</v>
      </c>
      <c r="D592">
        <f t="shared" si="9"/>
        <v>1712409731</v>
      </c>
    </row>
    <row r="593" spans="1:4" ht="14" x14ac:dyDescent="0.15">
      <c r="A593" s="322">
        <v>1712500110</v>
      </c>
      <c r="B593" s="322" t="s">
        <v>76</v>
      </c>
      <c r="C593">
        <v>1722005731</v>
      </c>
      <c r="D593">
        <f t="shared" si="9"/>
        <v>1712500110</v>
      </c>
    </row>
    <row r="594" spans="1:4" ht="14" x14ac:dyDescent="0.15">
      <c r="A594" s="322">
        <v>1712500731</v>
      </c>
      <c r="B594" s="322" t="s">
        <v>113</v>
      </c>
      <c r="C594">
        <v>1722006731</v>
      </c>
      <c r="D594" t="e">
        <f t="shared" si="9"/>
        <v>#N/A</v>
      </c>
    </row>
    <row r="595" spans="1:4" ht="14" x14ac:dyDescent="0.15">
      <c r="A595" s="322">
        <v>1712500750</v>
      </c>
      <c r="B595" s="322" t="s">
        <v>682</v>
      </c>
      <c r="C595">
        <v>1722008731</v>
      </c>
      <c r="D595">
        <f t="shared" si="9"/>
        <v>1712500750</v>
      </c>
    </row>
    <row r="596" spans="1:4" ht="14" x14ac:dyDescent="0.15">
      <c r="A596" s="322">
        <v>1712500751</v>
      </c>
      <c r="B596" s="322" t="s">
        <v>683</v>
      </c>
      <c r="C596">
        <v>1722009731</v>
      </c>
      <c r="D596">
        <f t="shared" si="9"/>
        <v>1712500751</v>
      </c>
    </row>
    <row r="597" spans="1:4" ht="14" x14ac:dyDescent="0.15">
      <c r="A597" s="322">
        <v>1712500752</v>
      </c>
      <c r="B597" s="322" t="s">
        <v>51</v>
      </c>
      <c r="C597">
        <v>1722100530</v>
      </c>
      <c r="D597" t="e">
        <f t="shared" si="9"/>
        <v>#N/A</v>
      </c>
    </row>
    <row r="598" spans="1:4" ht="14" x14ac:dyDescent="0.15">
      <c r="A598" s="322">
        <v>1712500780</v>
      </c>
      <c r="B598" s="322" t="s">
        <v>1933</v>
      </c>
      <c r="C598">
        <v>1723000110</v>
      </c>
      <c r="D598">
        <f t="shared" si="9"/>
        <v>1712500780</v>
      </c>
    </row>
    <row r="599" spans="1:4" ht="14" x14ac:dyDescent="0.15">
      <c r="A599" s="322">
        <v>1712501731</v>
      </c>
      <c r="B599" s="322" t="s">
        <v>2110</v>
      </c>
      <c r="C599">
        <v>1723000420</v>
      </c>
      <c r="D599">
        <f t="shared" si="9"/>
        <v>1712501731</v>
      </c>
    </row>
    <row r="600" spans="1:4" ht="14" x14ac:dyDescent="0.15">
      <c r="A600" s="322">
        <v>1712503731</v>
      </c>
      <c r="B600" s="322" t="s">
        <v>2111</v>
      </c>
      <c r="C600">
        <v>1723000430</v>
      </c>
      <c r="D600">
        <f t="shared" si="9"/>
        <v>1712503731</v>
      </c>
    </row>
    <row r="601" spans="1:4" ht="14" x14ac:dyDescent="0.15">
      <c r="A601" s="324">
        <v>1712504731</v>
      </c>
      <c r="B601" s="322" t="s">
        <v>2059</v>
      </c>
      <c r="C601">
        <v>1723000731</v>
      </c>
      <c r="D601" t="e">
        <f t="shared" si="9"/>
        <v>#N/A</v>
      </c>
    </row>
    <row r="602" spans="1:4" ht="14" x14ac:dyDescent="0.15">
      <c r="A602" s="322">
        <v>1712506731</v>
      </c>
      <c r="B602" s="322" t="s">
        <v>2060</v>
      </c>
      <c r="C602">
        <v>1723000751</v>
      </c>
      <c r="D602">
        <f t="shared" si="9"/>
        <v>1712506731</v>
      </c>
    </row>
    <row r="603" spans="1:4" ht="14" x14ac:dyDescent="0.15">
      <c r="A603" s="322">
        <v>1712509530</v>
      </c>
      <c r="B603" s="322" t="s">
        <v>1793</v>
      </c>
      <c r="C603">
        <v>1723000810</v>
      </c>
      <c r="D603">
        <f t="shared" si="9"/>
        <v>1712509530</v>
      </c>
    </row>
    <row r="604" spans="1:4" ht="14" x14ac:dyDescent="0.15">
      <c r="A604" s="322">
        <v>1712600731</v>
      </c>
      <c r="B604" s="322" t="s">
        <v>2112</v>
      </c>
      <c r="C604">
        <v>1724000731</v>
      </c>
      <c r="D604">
        <f t="shared" si="9"/>
        <v>1712600731</v>
      </c>
    </row>
    <row r="605" spans="1:4" ht="14" x14ac:dyDescent="0.15">
      <c r="A605" s="322">
        <v>1712800731</v>
      </c>
      <c r="B605" s="322" t="s">
        <v>1795</v>
      </c>
      <c r="C605">
        <v>1724000830</v>
      </c>
      <c r="D605">
        <f t="shared" si="9"/>
        <v>1712800731</v>
      </c>
    </row>
    <row r="606" spans="1:4" ht="14" x14ac:dyDescent="0.15">
      <c r="A606" s="322">
        <v>1713000731</v>
      </c>
      <c r="B606" s="322" t="s">
        <v>2113</v>
      </c>
      <c r="C606">
        <v>1726100110</v>
      </c>
      <c r="D606">
        <f t="shared" si="9"/>
        <v>1713000731</v>
      </c>
    </row>
    <row r="607" spans="1:4" ht="14" x14ac:dyDescent="0.15">
      <c r="A607" s="324">
        <v>1713001530</v>
      </c>
      <c r="B607" s="322" t="s">
        <v>2114</v>
      </c>
      <c r="C607" s="182"/>
      <c r="D607" t="e">
        <f t="shared" si="9"/>
        <v>#N/A</v>
      </c>
    </row>
    <row r="608" spans="1:4" ht="14" x14ac:dyDescent="0.15">
      <c r="A608" s="322">
        <v>1713001731</v>
      </c>
      <c r="B608" s="322" t="s">
        <v>1450</v>
      </c>
      <c r="C608" s="182"/>
      <c r="D608">
        <f t="shared" si="9"/>
        <v>1713001731</v>
      </c>
    </row>
    <row r="609" spans="1:4" ht="14" x14ac:dyDescent="0.15">
      <c r="A609" s="322">
        <v>1713002731</v>
      </c>
      <c r="B609" s="322" t="s">
        <v>1451</v>
      </c>
      <c r="C609">
        <v>1731000110</v>
      </c>
      <c r="D609">
        <f t="shared" si="9"/>
        <v>1713002731</v>
      </c>
    </row>
    <row r="610" spans="1:4" ht="14" x14ac:dyDescent="0.15">
      <c r="A610" s="324">
        <v>1713004731</v>
      </c>
      <c r="B610" s="322" t="s">
        <v>2115</v>
      </c>
      <c r="C610">
        <v>1731000440</v>
      </c>
      <c r="D610" t="e">
        <f t="shared" si="9"/>
        <v>#N/A</v>
      </c>
    </row>
    <row r="611" spans="1:4" ht="14" x14ac:dyDescent="0.15">
      <c r="A611" s="324">
        <v>1713100731</v>
      </c>
      <c r="B611" s="322" t="s">
        <v>2116</v>
      </c>
      <c r="C611">
        <v>1731000511</v>
      </c>
      <c r="D611" t="e">
        <f t="shared" si="9"/>
        <v>#N/A</v>
      </c>
    </row>
    <row r="612" spans="1:4" ht="14" x14ac:dyDescent="0.15">
      <c r="A612" s="322">
        <v>1713200110</v>
      </c>
      <c r="B612" s="322" t="s">
        <v>523</v>
      </c>
      <c r="C612">
        <v>1731000512</v>
      </c>
      <c r="D612">
        <f t="shared" si="9"/>
        <v>1713200110</v>
      </c>
    </row>
    <row r="613" spans="1:4" ht="14" x14ac:dyDescent="0.15">
      <c r="A613" s="322">
        <v>1714000110</v>
      </c>
      <c r="B613" s="322" t="s">
        <v>524</v>
      </c>
      <c r="C613">
        <v>1731000520</v>
      </c>
      <c r="D613">
        <f t="shared" si="9"/>
        <v>1714000110</v>
      </c>
    </row>
    <row r="614" spans="1:4" ht="14" x14ac:dyDescent="0.15">
      <c r="A614" s="322">
        <v>1714000210</v>
      </c>
      <c r="B614" s="322" t="s">
        <v>524</v>
      </c>
      <c r="C614">
        <v>1731000521</v>
      </c>
      <c r="D614">
        <f t="shared" si="9"/>
        <v>1714000210</v>
      </c>
    </row>
    <row r="615" spans="1:4" ht="14" x14ac:dyDescent="0.15">
      <c r="A615" s="322">
        <v>1714200523</v>
      </c>
      <c r="B615" s="322" t="s">
        <v>2036</v>
      </c>
      <c r="C615">
        <v>1731000522</v>
      </c>
      <c r="D615">
        <f t="shared" si="9"/>
        <v>1714200523</v>
      </c>
    </row>
    <row r="616" spans="1:4" ht="14" x14ac:dyDescent="0.15">
      <c r="A616" s="322">
        <v>1714200560</v>
      </c>
      <c r="B616" s="322" t="s">
        <v>687</v>
      </c>
      <c r="C616">
        <v>1731000523</v>
      </c>
      <c r="D616">
        <f t="shared" si="9"/>
        <v>1714200560</v>
      </c>
    </row>
    <row r="617" spans="1:4" ht="14" x14ac:dyDescent="0.15">
      <c r="A617" s="322">
        <v>1714200570</v>
      </c>
      <c r="B617" s="322" t="s">
        <v>258</v>
      </c>
      <c r="C617">
        <v>1731000530</v>
      </c>
      <c r="D617">
        <f t="shared" si="9"/>
        <v>1714200570</v>
      </c>
    </row>
    <row r="618" spans="1:4" ht="14" x14ac:dyDescent="0.15">
      <c r="A618" s="322">
        <v>1714200580</v>
      </c>
      <c r="B618" s="322" t="s">
        <v>688</v>
      </c>
      <c r="C618">
        <v>1731000550</v>
      </c>
      <c r="D618">
        <f t="shared" si="9"/>
        <v>1714200580</v>
      </c>
    </row>
    <row r="619" spans="1:4" ht="14" x14ac:dyDescent="0.15">
      <c r="A619" s="322">
        <v>1714200581</v>
      </c>
      <c r="B619" s="322" t="s">
        <v>1796</v>
      </c>
      <c r="C619">
        <v>1731000560</v>
      </c>
      <c r="D619">
        <f t="shared" si="9"/>
        <v>1714200581</v>
      </c>
    </row>
    <row r="620" spans="1:4" ht="14" x14ac:dyDescent="0.15">
      <c r="A620" s="322">
        <v>1714200720</v>
      </c>
      <c r="B620" s="322" t="s">
        <v>689</v>
      </c>
      <c r="C620">
        <v>1731000570</v>
      </c>
      <c r="D620">
        <f t="shared" si="9"/>
        <v>1714200720</v>
      </c>
    </row>
    <row r="621" spans="1:4" ht="14" x14ac:dyDescent="0.15">
      <c r="A621" s="322">
        <v>1714200731</v>
      </c>
      <c r="B621" s="322" t="s">
        <v>1517</v>
      </c>
      <c r="C621">
        <v>1731000580</v>
      </c>
      <c r="D621">
        <f t="shared" si="9"/>
        <v>1714200731</v>
      </c>
    </row>
    <row r="622" spans="1:4" ht="14" x14ac:dyDescent="0.15">
      <c r="A622" s="322">
        <v>1714200781</v>
      </c>
      <c r="B622" s="322" t="s">
        <v>691</v>
      </c>
      <c r="C622">
        <v>1731000581</v>
      </c>
      <c r="D622">
        <f t="shared" si="9"/>
        <v>1714200781</v>
      </c>
    </row>
    <row r="623" spans="1:4" ht="14" x14ac:dyDescent="0.15">
      <c r="A623" s="322">
        <v>1714200930</v>
      </c>
      <c r="B623" s="322" t="s">
        <v>2117</v>
      </c>
      <c r="C623">
        <v>1731000750</v>
      </c>
      <c r="D623">
        <f t="shared" si="9"/>
        <v>1714200930</v>
      </c>
    </row>
    <row r="624" spans="1:4" ht="14" x14ac:dyDescent="0.15">
      <c r="A624" s="322">
        <v>1714300731</v>
      </c>
      <c r="B624" s="322" t="s">
        <v>2118</v>
      </c>
      <c r="C624">
        <v>1731000780</v>
      </c>
      <c r="D624">
        <f t="shared" si="9"/>
        <v>1714300731</v>
      </c>
    </row>
    <row r="625" spans="1:4" ht="14" x14ac:dyDescent="0.15">
      <c r="A625" s="322">
        <v>1714300750</v>
      </c>
      <c r="B625" s="322" t="s">
        <v>693</v>
      </c>
      <c r="C625">
        <v>1731000910</v>
      </c>
      <c r="D625" t="e">
        <f t="shared" si="9"/>
        <v>#N/A</v>
      </c>
    </row>
    <row r="626" spans="1:4" ht="14" x14ac:dyDescent="0.15">
      <c r="A626" s="322">
        <v>1714300830</v>
      </c>
      <c r="B626" s="322" t="s">
        <v>694</v>
      </c>
      <c r="C626">
        <v>1731000930</v>
      </c>
      <c r="D626">
        <f t="shared" si="9"/>
        <v>1714300830</v>
      </c>
    </row>
    <row r="627" spans="1:4" ht="14" x14ac:dyDescent="0.15">
      <c r="A627" s="322">
        <v>1715200110</v>
      </c>
      <c r="B627" s="322" t="s">
        <v>523</v>
      </c>
      <c r="C627">
        <v>1731100530</v>
      </c>
      <c r="D627">
        <f t="shared" si="9"/>
        <v>1715200110</v>
      </c>
    </row>
    <row r="628" spans="1:4" ht="14" x14ac:dyDescent="0.15">
      <c r="A628" s="322">
        <v>1715200511</v>
      </c>
      <c r="B628" s="322" t="s">
        <v>1797</v>
      </c>
      <c r="C628">
        <v>1732000110</v>
      </c>
      <c r="D628">
        <f t="shared" si="9"/>
        <v>1715200511</v>
      </c>
    </row>
    <row r="629" spans="1:4" ht="14" x14ac:dyDescent="0.15">
      <c r="A629" s="322">
        <v>1715200512</v>
      </c>
      <c r="B629" s="322" t="s">
        <v>1798</v>
      </c>
      <c r="C629">
        <v>1732000511</v>
      </c>
      <c r="D629">
        <f t="shared" si="9"/>
        <v>1715200512</v>
      </c>
    </row>
    <row r="630" spans="1:4" ht="14" x14ac:dyDescent="0.15">
      <c r="A630" s="322">
        <v>1715200570</v>
      </c>
      <c r="B630" s="322" t="s">
        <v>1799</v>
      </c>
      <c r="C630">
        <v>1732000512</v>
      </c>
      <c r="D630">
        <f t="shared" si="9"/>
        <v>1715200570</v>
      </c>
    </row>
    <row r="631" spans="1:4" ht="14" x14ac:dyDescent="0.15">
      <c r="A631" s="322">
        <v>1715200720</v>
      </c>
      <c r="B631" s="322" t="s">
        <v>689</v>
      </c>
      <c r="C631">
        <v>1732000530</v>
      </c>
      <c r="D631">
        <f t="shared" si="9"/>
        <v>1715200720</v>
      </c>
    </row>
    <row r="632" spans="1:4" ht="14" x14ac:dyDescent="0.15">
      <c r="A632" s="322">
        <v>1715200780</v>
      </c>
      <c r="B632" s="322" t="s">
        <v>835</v>
      </c>
      <c r="C632">
        <v>1732000560</v>
      </c>
      <c r="D632">
        <f t="shared" si="9"/>
        <v>1715200780</v>
      </c>
    </row>
    <row r="633" spans="1:4" ht="14" x14ac:dyDescent="0.15">
      <c r="A633" s="322">
        <v>1715300750</v>
      </c>
      <c r="B633" s="322" t="s">
        <v>695</v>
      </c>
      <c r="C633">
        <v>1732000581</v>
      </c>
      <c r="D633">
        <f t="shared" si="9"/>
        <v>1715300750</v>
      </c>
    </row>
    <row r="634" spans="1:4" ht="14" x14ac:dyDescent="0.15">
      <c r="A634" s="322">
        <v>1720000981</v>
      </c>
      <c r="B634" s="322" t="s">
        <v>74</v>
      </c>
      <c r="C634">
        <v>1732000750</v>
      </c>
      <c r="D634" t="e">
        <f t="shared" si="9"/>
        <v>#N/A</v>
      </c>
    </row>
    <row r="635" spans="1:4" ht="14" x14ac:dyDescent="0.15">
      <c r="A635" s="322">
        <v>1721000110</v>
      </c>
      <c r="B635" s="322" t="s">
        <v>525</v>
      </c>
      <c r="C635">
        <v>1732000780</v>
      </c>
      <c r="D635">
        <f t="shared" si="9"/>
        <v>1721000110</v>
      </c>
    </row>
    <row r="636" spans="1:4" ht="14" x14ac:dyDescent="0.15">
      <c r="A636" s="322">
        <v>1722000110</v>
      </c>
      <c r="B636" s="322" t="s">
        <v>523</v>
      </c>
      <c r="C636">
        <v>1732000950</v>
      </c>
      <c r="D636">
        <f t="shared" si="9"/>
        <v>1722000110</v>
      </c>
    </row>
    <row r="637" spans="1:4" ht="14" x14ac:dyDescent="0.15">
      <c r="A637" s="322">
        <v>1722000210</v>
      </c>
      <c r="B637" s="322" t="s">
        <v>526</v>
      </c>
      <c r="C637">
        <v>1733100110</v>
      </c>
      <c r="D637">
        <f t="shared" si="9"/>
        <v>1722000210</v>
      </c>
    </row>
    <row r="638" spans="1:4" ht="14" x14ac:dyDescent="0.15">
      <c r="A638" s="322">
        <v>1722000430</v>
      </c>
      <c r="B638" s="322" t="s">
        <v>696</v>
      </c>
      <c r="C638">
        <v>1733100511</v>
      </c>
      <c r="D638">
        <f t="shared" si="9"/>
        <v>1722000430</v>
      </c>
    </row>
    <row r="639" spans="1:4" ht="14" x14ac:dyDescent="0.15">
      <c r="A639" s="322">
        <v>1722000511</v>
      </c>
      <c r="B639" s="322" t="s">
        <v>697</v>
      </c>
      <c r="C639">
        <v>1733100531</v>
      </c>
      <c r="D639">
        <f t="shared" si="9"/>
        <v>1722000511</v>
      </c>
    </row>
    <row r="640" spans="1:4" ht="14" x14ac:dyDescent="0.15">
      <c r="A640" s="322">
        <v>1722000530</v>
      </c>
      <c r="B640" s="322" t="s">
        <v>700</v>
      </c>
      <c r="C640">
        <v>1733100560</v>
      </c>
      <c r="D640" t="e">
        <f t="shared" si="9"/>
        <v>#N/A</v>
      </c>
    </row>
    <row r="641" spans="1:4" ht="14" x14ac:dyDescent="0.15">
      <c r="A641" s="322">
        <v>1722000540</v>
      </c>
      <c r="B641" s="322" t="s">
        <v>698</v>
      </c>
      <c r="C641">
        <v>1733100731</v>
      </c>
      <c r="D641">
        <f t="shared" si="9"/>
        <v>1722000540</v>
      </c>
    </row>
    <row r="642" spans="1:4" ht="14" x14ac:dyDescent="0.15">
      <c r="A642" s="322">
        <v>1722000550</v>
      </c>
      <c r="B642" s="322" t="s">
        <v>699</v>
      </c>
      <c r="C642">
        <v>1733100780</v>
      </c>
      <c r="D642">
        <f t="shared" si="9"/>
        <v>1722000550</v>
      </c>
    </row>
    <row r="643" spans="1:4" ht="14" x14ac:dyDescent="0.15">
      <c r="A643" s="322">
        <v>1722000560</v>
      </c>
      <c r="B643" s="322" t="s">
        <v>820</v>
      </c>
      <c r="C643">
        <v>1733100930</v>
      </c>
      <c r="D643">
        <f t="shared" si="9"/>
        <v>1722000560</v>
      </c>
    </row>
    <row r="644" spans="1:4" ht="14" x14ac:dyDescent="0.15">
      <c r="A644" s="322">
        <v>1722000581</v>
      </c>
      <c r="B644" s="322" t="s">
        <v>1800</v>
      </c>
      <c r="C644">
        <v>1733110530</v>
      </c>
      <c r="D644">
        <f t="shared" ref="D644:D707" si="10">VLOOKUP(A644,$C$3:$C$1296,1,FALSE)</f>
        <v>1722000581</v>
      </c>
    </row>
    <row r="645" spans="1:4" ht="14" x14ac:dyDescent="0.15">
      <c r="A645" s="322">
        <v>1722000731</v>
      </c>
      <c r="B645" s="322" t="s">
        <v>1516</v>
      </c>
      <c r="C645">
        <v>1733200731</v>
      </c>
      <c r="D645" t="e">
        <f t="shared" si="10"/>
        <v>#N/A</v>
      </c>
    </row>
    <row r="646" spans="1:4" ht="14" x14ac:dyDescent="0.15">
      <c r="A646" s="322">
        <v>1722000750</v>
      </c>
      <c r="B646" s="322" t="s">
        <v>701</v>
      </c>
      <c r="C646">
        <v>1733200780</v>
      </c>
      <c r="D646">
        <f t="shared" si="10"/>
        <v>1722000750</v>
      </c>
    </row>
    <row r="647" spans="1:4" ht="14" x14ac:dyDescent="0.15">
      <c r="A647" s="322">
        <v>1722000751</v>
      </c>
      <c r="B647" s="322" t="s">
        <v>702</v>
      </c>
      <c r="C647" s="182"/>
      <c r="D647">
        <f t="shared" si="10"/>
        <v>1722000751</v>
      </c>
    </row>
    <row r="648" spans="1:4" ht="14" x14ac:dyDescent="0.15">
      <c r="A648" s="322">
        <v>1722000752</v>
      </c>
      <c r="B648" s="322" t="s">
        <v>703</v>
      </c>
      <c r="C648" s="182"/>
      <c r="D648" t="e">
        <f t="shared" si="10"/>
        <v>#N/A</v>
      </c>
    </row>
    <row r="649" spans="1:4" ht="14" x14ac:dyDescent="0.15">
      <c r="A649" s="322">
        <v>1722000753</v>
      </c>
      <c r="B649" s="322" t="s">
        <v>1515</v>
      </c>
      <c r="C649">
        <v>1742000440</v>
      </c>
      <c r="D649">
        <f t="shared" si="10"/>
        <v>1722000753</v>
      </c>
    </row>
    <row r="650" spans="1:4" ht="14" x14ac:dyDescent="0.15">
      <c r="A650" s="322">
        <v>1722000754</v>
      </c>
      <c r="B650" s="322" t="s">
        <v>1609</v>
      </c>
      <c r="C650">
        <v>1742000720</v>
      </c>
      <c r="D650">
        <f t="shared" si="10"/>
        <v>1722000754</v>
      </c>
    </row>
    <row r="651" spans="1:4" ht="14" x14ac:dyDescent="0.15">
      <c r="A651" s="322">
        <v>1722000755</v>
      </c>
      <c r="B651" s="322" t="s">
        <v>1642</v>
      </c>
      <c r="C651">
        <v>1742000750</v>
      </c>
      <c r="D651">
        <f t="shared" si="10"/>
        <v>1722000755</v>
      </c>
    </row>
    <row r="652" spans="1:4" ht="14" x14ac:dyDescent="0.15">
      <c r="A652" s="322">
        <v>1722000756</v>
      </c>
      <c r="B652" s="322" t="s">
        <v>1941</v>
      </c>
      <c r="C652">
        <v>1742000910</v>
      </c>
      <c r="D652">
        <f t="shared" si="10"/>
        <v>1722000756</v>
      </c>
    </row>
    <row r="653" spans="1:4" ht="14" x14ac:dyDescent="0.15">
      <c r="A653" s="322">
        <v>1722000757</v>
      </c>
      <c r="B653" s="322" t="s">
        <v>1942</v>
      </c>
      <c r="C653">
        <v>1742000930</v>
      </c>
      <c r="D653">
        <f t="shared" si="10"/>
        <v>1722000757</v>
      </c>
    </row>
    <row r="654" spans="1:4" ht="14" x14ac:dyDescent="0.15">
      <c r="A654" s="322">
        <v>1722000910</v>
      </c>
      <c r="B654" s="322" t="s">
        <v>1148</v>
      </c>
      <c r="C654">
        <v>1743000110</v>
      </c>
      <c r="D654">
        <f t="shared" si="10"/>
        <v>1722000910</v>
      </c>
    </row>
    <row r="655" spans="1:4" ht="14" x14ac:dyDescent="0.15">
      <c r="A655" s="322">
        <v>1722000930</v>
      </c>
      <c r="B655" s="322" t="s">
        <v>1803</v>
      </c>
      <c r="C655">
        <v>1743000511</v>
      </c>
      <c r="D655">
        <f t="shared" si="10"/>
        <v>1722000930</v>
      </c>
    </row>
    <row r="656" spans="1:4" ht="14" x14ac:dyDescent="0.15">
      <c r="A656" s="322">
        <v>1722000980</v>
      </c>
      <c r="B656" s="322" t="s">
        <v>580</v>
      </c>
      <c r="C656">
        <v>1743000581</v>
      </c>
      <c r="D656">
        <f t="shared" si="10"/>
        <v>1722000980</v>
      </c>
    </row>
    <row r="657" spans="1:4" ht="14" x14ac:dyDescent="0.15">
      <c r="A657" s="322">
        <v>1722001731</v>
      </c>
      <c r="B657" s="322" t="s">
        <v>1804</v>
      </c>
      <c r="C657">
        <v>1743000720</v>
      </c>
      <c r="D657">
        <f t="shared" si="10"/>
        <v>1722001731</v>
      </c>
    </row>
    <row r="658" spans="1:4" ht="14" x14ac:dyDescent="0.15">
      <c r="A658" s="322">
        <v>1722002530</v>
      </c>
      <c r="B658" s="322" t="s">
        <v>2119</v>
      </c>
      <c r="C658">
        <v>1743000740</v>
      </c>
      <c r="D658">
        <f t="shared" si="10"/>
        <v>1722002530</v>
      </c>
    </row>
    <row r="659" spans="1:4" ht="14" x14ac:dyDescent="0.15">
      <c r="A659" s="322">
        <v>1722002731</v>
      </c>
      <c r="B659" s="322" t="s">
        <v>1514</v>
      </c>
      <c r="C659">
        <v>1743000742</v>
      </c>
      <c r="D659" t="e">
        <f t="shared" si="10"/>
        <v>#N/A</v>
      </c>
    </row>
    <row r="660" spans="1:4" ht="14" x14ac:dyDescent="0.15">
      <c r="A660" s="322">
        <v>1722003530</v>
      </c>
      <c r="B660" s="322" t="s">
        <v>2120</v>
      </c>
      <c r="C660">
        <v>1743000750</v>
      </c>
      <c r="D660">
        <f t="shared" si="10"/>
        <v>1722003530</v>
      </c>
    </row>
    <row r="661" spans="1:4" ht="14" x14ac:dyDescent="0.15">
      <c r="A661" s="322">
        <v>1722003731</v>
      </c>
      <c r="B661" s="322" t="s">
        <v>1513</v>
      </c>
      <c r="C661">
        <v>1743000751</v>
      </c>
      <c r="D661" t="e">
        <f t="shared" si="10"/>
        <v>#N/A</v>
      </c>
    </row>
    <row r="662" spans="1:4" ht="14" x14ac:dyDescent="0.15">
      <c r="A662" s="322">
        <v>1722004731</v>
      </c>
      <c r="B662" s="322" t="s">
        <v>1805</v>
      </c>
      <c r="C662">
        <v>1743000770</v>
      </c>
      <c r="D662">
        <f t="shared" si="10"/>
        <v>1722004731</v>
      </c>
    </row>
    <row r="663" spans="1:4" ht="14" x14ac:dyDescent="0.15">
      <c r="A663" s="322">
        <v>1722005731</v>
      </c>
      <c r="B663" s="322" t="s">
        <v>1806</v>
      </c>
      <c r="C663">
        <v>1743000780</v>
      </c>
      <c r="D663">
        <f t="shared" si="10"/>
        <v>1722005731</v>
      </c>
    </row>
    <row r="664" spans="1:4" ht="14" x14ac:dyDescent="0.15">
      <c r="A664" s="322">
        <v>1722006731</v>
      </c>
      <c r="B664" s="322" t="s">
        <v>1807</v>
      </c>
      <c r="C664">
        <v>1743001731</v>
      </c>
      <c r="D664">
        <f t="shared" si="10"/>
        <v>1722006731</v>
      </c>
    </row>
    <row r="665" spans="1:4" ht="14" x14ac:dyDescent="0.15">
      <c r="A665" s="322">
        <v>1722008731</v>
      </c>
      <c r="B665" s="322" t="s">
        <v>1330</v>
      </c>
      <c r="C665">
        <v>1743002731</v>
      </c>
      <c r="D665">
        <f t="shared" si="10"/>
        <v>1722008731</v>
      </c>
    </row>
    <row r="666" spans="1:4" ht="14" x14ac:dyDescent="0.15">
      <c r="A666" s="322">
        <v>1722009731</v>
      </c>
      <c r="B666" s="322" t="s">
        <v>2121</v>
      </c>
      <c r="C666">
        <v>1743003731</v>
      </c>
      <c r="D666">
        <f t="shared" si="10"/>
        <v>1722009731</v>
      </c>
    </row>
    <row r="667" spans="1:4" ht="14" x14ac:dyDescent="0.15">
      <c r="A667" s="322">
        <v>1722100530</v>
      </c>
      <c r="B667" s="322" t="s">
        <v>2122</v>
      </c>
      <c r="C667">
        <v>1743004731</v>
      </c>
      <c r="D667">
        <f t="shared" si="10"/>
        <v>1722100530</v>
      </c>
    </row>
    <row r="668" spans="1:4" ht="14" x14ac:dyDescent="0.15">
      <c r="A668" s="322">
        <v>1722100780</v>
      </c>
      <c r="B668" s="322" t="s">
        <v>580</v>
      </c>
      <c r="C668">
        <v>1743005731</v>
      </c>
      <c r="D668" t="e">
        <f t="shared" si="10"/>
        <v>#N/A</v>
      </c>
    </row>
    <row r="669" spans="1:4" ht="14" x14ac:dyDescent="0.15">
      <c r="A669" s="322">
        <v>1723000110</v>
      </c>
      <c r="B669" s="322" t="s">
        <v>527</v>
      </c>
      <c r="C669">
        <v>1743006731</v>
      </c>
      <c r="D669">
        <f t="shared" si="10"/>
        <v>1723000110</v>
      </c>
    </row>
    <row r="670" spans="1:4" ht="14" x14ac:dyDescent="0.15">
      <c r="A670" s="322">
        <v>1723000420</v>
      </c>
      <c r="B670" s="322" t="s">
        <v>712</v>
      </c>
      <c r="C670">
        <v>1743007530</v>
      </c>
      <c r="D670">
        <f t="shared" si="10"/>
        <v>1723000420</v>
      </c>
    </row>
    <row r="671" spans="1:4" ht="14" x14ac:dyDescent="0.15">
      <c r="A671" s="322">
        <v>1723000430</v>
      </c>
      <c r="B671" s="322" t="s">
        <v>713</v>
      </c>
      <c r="C671">
        <v>1743200530</v>
      </c>
      <c r="D671">
        <f t="shared" si="10"/>
        <v>1723000430</v>
      </c>
    </row>
    <row r="672" spans="1:4" ht="14" x14ac:dyDescent="0.15">
      <c r="A672" s="322">
        <v>1723000731</v>
      </c>
      <c r="B672" s="322" t="s">
        <v>2123</v>
      </c>
      <c r="C672">
        <v>1744000910</v>
      </c>
      <c r="D672">
        <f t="shared" si="10"/>
        <v>1723000731</v>
      </c>
    </row>
    <row r="673" spans="1:4" ht="14" x14ac:dyDescent="0.15">
      <c r="A673" s="322">
        <v>1723000750</v>
      </c>
      <c r="B673" s="322" t="s">
        <v>714</v>
      </c>
      <c r="C673">
        <v>1744400521</v>
      </c>
      <c r="D673" t="e">
        <f t="shared" si="10"/>
        <v>#N/A</v>
      </c>
    </row>
    <row r="674" spans="1:4" ht="14" x14ac:dyDescent="0.15">
      <c r="A674" s="322">
        <v>1723000751</v>
      </c>
      <c r="B674" s="322" t="s">
        <v>77</v>
      </c>
      <c r="C674">
        <v>1744400750</v>
      </c>
      <c r="D674">
        <f t="shared" si="10"/>
        <v>1723000751</v>
      </c>
    </row>
    <row r="675" spans="1:4" ht="14" x14ac:dyDescent="0.15">
      <c r="A675" s="322">
        <v>1723000810</v>
      </c>
      <c r="B675" s="322" t="s">
        <v>715</v>
      </c>
      <c r="C675">
        <v>1745000810</v>
      </c>
      <c r="D675">
        <f t="shared" si="10"/>
        <v>1723000810</v>
      </c>
    </row>
    <row r="676" spans="1:4" ht="14" x14ac:dyDescent="0.15">
      <c r="A676" s="322">
        <v>1723100810</v>
      </c>
      <c r="B676" s="322" t="s">
        <v>717</v>
      </c>
      <c r="C676">
        <v>1746000110</v>
      </c>
      <c r="D676" t="e">
        <f t="shared" si="10"/>
        <v>#N/A</v>
      </c>
    </row>
    <row r="677" spans="1:4" ht="14" x14ac:dyDescent="0.15">
      <c r="A677" s="322">
        <v>1724000731</v>
      </c>
      <c r="B677" s="322" t="s">
        <v>2061</v>
      </c>
      <c r="C677">
        <v>1746000210</v>
      </c>
      <c r="D677">
        <f t="shared" si="10"/>
        <v>1724000731</v>
      </c>
    </row>
    <row r="678" spans="1:4" ht="14" x14ac:dyDescent="0.15">
      <c r="A678" s="322">
        <v>1724000830</v>
      </c>
      <c r="B678" s="322" t="s">
        <v>718</v>
      </c>
      <c r="C678">
        <v>1746000430</v>
      </c>
      <c r="D678">
        <f t="shared" si="10"/>
        <v>1724000830</v>
      </c>
    </row>
    <row r="679" spans="1:4" ht="14" x14ac:dyDescent="0.15">
      <c r="A679" s="322">
        <v>1725000910</v>
      </c>
      <c r="B679" s="322" t="s">
        <v>741</v>
      </c>
      <c r="C679">
        <v>1746000530</v>
      </c>
      <c r="D679" t="e">
        <f t="shared" si="10"/>
        <v>#N/A</v>
      </c>
    </row>
    <row r="680" spans="1:4" ht="14" x14ac:dyDescent="0.15">
      <c r="A680" s="322">
        <v>1726100110</v>
      </c>
      <c r="B680" s="322" t="s">
        <v>523</v>
      </c>
      <c r="C680">
        <v>1746000720</v>
      </c>
      <c r="D680">
        <f t="shared" si="10"/>
        <v>1726100110</v>
      </c>
    </row>
    <row r="681" spans="1:4" ht="14" x14ac:dyDescent="0.15">
      <c r="A681" s="322">
        <v>1730000981</v>
      </c>
      <c r="B681" s="322" t="s">
        <v>74</v>
      </c>
      <c r="C681">
        <v>1746000731</v>
      </c>
      <c r="D681" t="e">
        <f t="shared" si="10"/>
        <v>#N/A</v>
      </c>
    </row>
    <row r="682" spans="1:4" ht="14" x14ac:dyDescent="0.15">
      <c r="A682" s="322">
        <v>1731000110</v>
      </c>
      <c r="B682" s="322" t="s">
        <v>528</v>
      </c>
      <c r="C682">
        <v>1746000740</v>
      </c>
      <c r="D682">
        <f t="shared" si="10"/>
        <v>1731000110</v>
      </c>
    </row>
    <row r="683" spans="1:4" ht="14" x14ac:dyDescent="0.15">
      <c r="A683" s="322">
        <v>1731000440</v>
      </c>
      <c r="B683" s="322" t="s">
        <v>719</v>
      </c>
      <c r="C683">
        <v>1746000750</v>
      </c>
      <c r="D683">
        <f t="shared" si="10"/>
        <v>1731000440</v>
      </c>
    </row>
    <row r="684" spans="1:4" ht="14" x14ac:dyDescent="0.15">
      <c r="A684" s="322">
        <v>1731000450</v>
      </c>
      <c r="B684" s="322" t="s">
        <v>720</v>
      </c>
      <c r="C684">
        <v>1746000751</v>
      </c>
      <c r="D684" t="e">
        <f t="shared" si="10"/>
        <v>#N/A</v>
      </c>
    </row>
    <row r="685" spans="1:4" ht="14" x14ac:dyDescent="0.15">
      <c r="A685" s="322">
        <v>1731000511</v>
      </c>
      <c r="B685" s="322" t="s">
        <v>721</v>
      </c>
      <c r="C685">
        <v>1746000752</v>
      </c>
      <c r="D685">
        <f t="shared" si="10"/>
        <v>1731000511</v>
      </c>
    </row>
    <row r="686" spans="1:4" ht="14" x14ac:dyDescent="0.15">
      <c r="A686" s="322">
        <v>1731000512</v>
      </c>
      <c r="B686" s="322" t="s">
        <v>722</v>
      </c>
      <c r="C686">
        <v>1746000754</v>
      </c>
      <c r="D686">
        <f t="shared" si="10"/>
        <v>1731000512</v>
      </c>
    </row>
    <row r="687" spans="1:4" ht="14" x14ac:dyDescent="0.15">
      <c r="A687" s="322">
        <v>1731000520</v>
      </c>
      <c r="B687" s="322" t="s">
        <v>571</v>
      </c>
      <c r="C687">
        <v>1746000780</v>
      </c>
      <c r="D687">
        <f t="shared" si="10"/>
        <v>1731000520</v>
      </c>
    </row>
    <row r="688" spans="1:4" ht="14" x14ac:dyDescent="0.15">
      <c r="A688" s="322">
        <v>1731000521</v>
      </c>
      <c r="B688" s="322" t="s">
        <v>646</v>
      </c>
      <c r="C688">
        <v>1746000931</v>
      </c>
      <c r="D688">
        <f t="shared" si="10"/>
        <v>1731000521</v>
      </c>
    </row>
    <row r="689" spans="1:4" ht="14" x14ac:dyDescent="0.15">
      <c r="A689" s="322">
        <v>1731000522</v>
      </c>
      <c r="B689" s="322" t="s">
        <v>723</v>
      </c>
      <c r="C689">
        <v>1746001530</v>
      </c>
      <c r="D689">
        <f t="shared" si="10"/>
        <v>1731000522</v>
      </c>
    </row>
    <row r="690" spans="1:4" ht="14" x14ac:dyDescent="0.15">
      <c r="A690" s="322">
        <v>1731000523</v>
      </c>
      <c r="B690" s="322" t="s">
        <v>724</v>
      </c>
      <c r="C690">
        <v>1746001731</v>
      </c>
      <c r="D690">
        <f t="shared" si="10"/>
        <v>1731000523</v>
      </c>
    </row>
    <row r="691" spans="1:4" ht="14" x14ac:dyDescent="0.15">
      <c r="A691" s="322">
        <v>1731000530</v>
      </c>
      <c r="B691" s="322" t="s">
        <v>2124</v>
      </c>
      <c r="C691">
        <v>1746100110</v>
      </c>
      <c r="D691">
        <f t="shared" si="10"/>
        <v>1731000530</v>
      </c>
    </row>
    <row r="692" spans="1:4" ht="14" x14ac:dyDescent="0.15">
      <c r="A692" s="322">
        <v>1731000540</v>
      </c>
      <c r="B692" s="322" t="s">
        <v>726</v>
      </c>
      <c r="C692">
        <v>1746100511</v>
      </c>
      <c r="D692" t="e">
        <f t="shared" si="10"/>
        <v>#N/A</v>
      </c>
    </row>
    <row r="693" spans="1:4" ht="14" x14ac:dyDescent="0.15">
      <c r="A693" s="322">
        <v>1731000550</v>
      </c>
      <c r="B693" s="322" t="s">
        <v>727</v>
      </c>
      <c r="C693">
        <v>1746100521</v>
      </c>
      <c r="D693">
        <f t="shared" si="10"/>
        <v>1731000550</v>
      </c>
    </row>
    <row r="694" spans="1:4" ht="14" x14ac:dyDescent="0.15">
      <c r="A694" s="322">
        <v>1731000560</v>
      </c>
      <c r="B694" s="322" t="s">
        <v>728</v>
      </c>
      <c r="C694">
        <v>1746100560</v>
      </c>
      <c r="D694">
        <f t="shared" si="10"/>
        <v>1731000560</v>
      </c>
    </row>
    <row r="695" spans="1:4" ht="14" x14ac:dyDescent="0.15">
      <c r="A695" s="322">
        <v>1731000570</v>
      </c>
      <c r="B695" s="322" t="s">
        <v>729</v>
      </c>
      <c r="C695">
        <v>1746100581</v>
      </c>
      <c r="D695">
        <f t="shared" si="10"/>
        <v>1731000570</v>
      </c>
    </row>
    <row r="696" spans="1:4" ht="14" x14ac:dyDescent="0.15">
      <c r="A696" s="322">
        <v>1731000580</v>
      </c>
      <c r="B696" s="322" t="s">
        <v>1235</v>
      </c>
      <c r="C696">
        <v>1746100720</v>
      </c>
      <c r="D696">
        <f t="shared" si="10"/>
        <v>1731000580</v>
      </c>
    </row>
    <row r="697" spans="1:4" ht="14" x14ac:dyDescent="0.15">
      <c r="A697" s="322">
        <v>1731000581</v>
      </c>
      <c r="B697" s="322" t="s">
        <v>1812</v>
      </c>
      <c r="C697">
        <v>1746100731</v>
      </c>
      <c r="D697">
        <f t="shared" si="10"/>
        <v>1731000581</v>
      </c>
    </row>
    <row r="698" spans="1:4" ht="14" x14ac:dyDescent="0.15">
      <c r="A698" s="322">
        <v>1731000750</v>
      </c>
      <c r="B698" s="322" t="s">
        <v>730</v>
      </c>
      <c r="C698">
        <v>1746100740</v>
      </c>
      <c r="D698">
        <f t="shared" si="10"/>
        <v>1731000750</v>
      </c>
    </row>
    <row r="699" spans="1:4" ht="14" x14ac:dyDescent="0.15">
      <c r="A699" s="322">
        <v>1731000780</v>
      </c>
      <c r="B699" s="322" t="s">
        <v>731</v>
      </c>
      <c r="C699">
        <v>1746100750</v>
      </c>
      <c r="D699">
        <f t="shared" si="10"/>
        <v>1731000780</v>
      </c>
    </row>
    <row r="700" spans="1:4" ht="14" x14ac:dyDescent="0.15">
      <c r="A700" s="322">
        <v>1731000910</v>
      </c>
      <c r="B700" s="322" t="s">
        <v>716</v>
      </c>
      <c r="C700">
        <v>1746100751</v>
      </c>
      <c r="D700">
        <f t="shared" si="10"/>
        <v>1731000910</v>
      </c>
    </row>
    <row r="701" spans="1:4" ht="14" x14ac:dyDescent="0.15">
      <c r="A701" s="322">
        <v>1731000930</v>
      </c>
      <c r="B701" s="322" t="s">
        <v>732</v>
      </c>
      <c r="C701">
        <v>1746100752</v>
      </c>
      <c r="D701">
        <f t="shared" si="10"/>
        <v>1731000930</v>
      </c>
    </row>
    <row r="702" spans="1:4" ht="14" x14ac:dyDescent="0.15">
      <c r="A702" s="322">
        <v>1731100530</v>
      </c>
      <c r="B702" s="322" t="s">
        <v>2125</v>
      </c>
      <c r="C702">
        <v>1746100780</v>
      </c>
      <c r="D702">
        <f t="shared" si="10"/>
        <v>1731100530</v>
      </c>
    </row>
    <row r="703" spans="1:4" ht="14" x14ac:dyDescent="0.15">
      <c r="A703" s="322">
        <v>1731100731</v>
      </c>
      <c r="B703" s="322" t="s">
        <v>117</v>
      </c>
      <c r="C703">
        <v>1746101731</v>
      </c>
      <c r="D703" t="e">
        <f t="shared" si="10"/>
        <v>#N/A</v>
      </c>
    </row>
    <row r="704" spans="1:4" ht="14" x14ac:dyDescent="0.15">
      <c r="A704" s="322">
        <v>1732000110</v>
      </c>
      <c r="B704" s="322" t="s">
        <v>528</v>
      </c>
      <c r="C704">
        <v>1746102731</v>
      </c>
      <c r="D704">
        <f t="shared" si="10"/>
        <v>1732000110</v>
      </c>
    </row>
    <row r="705" spans="1:4" ht="14" x14ac:dyDescent="0.15">
      <c r="A705" s="322">
        <v>1732000511</v>
      </c>
      <c r="B705" s="322" t="s">
        <v>721</v>
      </c>
      <c r="C705">
        <v>1746103731</v>
      </c>
      <c r="D705">
        <f t="shared" si="10"/>
        <v>1732000511</v>
      </c>
    </row>
    <row r="706" spans="1:4" ht="14" x14ac:dyDescent="0.15">
      <c r="A706" s="322">
        <v>1732000512</v>
      </c>
      <c r="B706" s="322" t="s">
        <v>1814</v>
      </c>
      <c r="C706">
        <v>1746104731</v>
      </c>
      <c r="D706">
        <f t="shared" si="10"/>
        <v>1732000512</v>
      </c>
    </row>
    <row r="707" spans="1:4" ht="14" x14ac:dyDescent="0.15">
      <c r="A707" s="322">
        <v>1732000530</v>
      </c>
      <c r="B707" s="322" t="s">
        <v>2126</v>
      </c>
      <c r="C707">
        <v>1746200530</v>
      </c>
      <c r="D707">
        <f t="shared" si="10"/>
        <v>1732000530</v>
      </c>
    </row>
    <row r="708" spans="1:4" ht="14" x14ac:dyDescent="0.15">
      <c r="A708" s="322">
        <v>1732000560</v>
      </c>
      <c r="B708" s="322" t="s">
        <v>728</v>
      </c>
      <c r="C708">
        <v>1746300731</v>
      </c>
      <c r="D708">
        <f t="shared" ref="D708:D771" si="11">VLOOKUP(A708,$C$3:$C$1296,1,FALSE)</f>
        <v>1732000560</v>
      </c>
    </row>
    <row r="709" spans="1:4" ht="14" x14ac:dyDescent="0.15">
      <c r="A709" s="322">
        <v>1732000581</v>
      </c>
      <c r="B709" s="322" t="s">
        <v>1816</v>
      </c>
      <c r="C709">
        <v>1746400731</v>
      </c>
      <c r="D709">
        <f t="shared" si="11"/>
        <v>1732000581</v>
      </c>
    </row>
    <row r="710" spans="1:4" ht="14" x14ac:dyDescent="0.15">
      <c r="A710" s="322">
        <v>1732000750</v>
      </c>
      <c r="B710" s="322" t="s">
        <v>730</v>
      </c>
      <c r="C710">
        <v>1746500731</v>
      </c>
      <c r="D710">
        <f t="shared" si="11"/>
        <v>1732000750</v>
      </c>
    </row>
    <row r="711" spans="1:4" ht="14" x14ac:dyDescent="0.15">
      <c r="A711" s="322">
        <v>1732000780</v>
      </c>
      <c r="B711" s="322" t="s">
        <v>731</v>
      </c>
      <c r="C711">
        <v>1747000731</v>
      </c>
      <c r="D711">
        <f t="shared" si="11"/>
        <v>1732000780</v>
      </c>
    </row>
    <row r="712" spans="1:4" ht="14" x14ac:dyDescent="0.15">
      <c r="A712" s="322">
        <v>1732000950</v>
      </c>
      <c r="B712" s="322" t="s">
        <v>735</v>
      </c>
      <c r="C712">
        <v>1747200110</v>
      </c>
      <c r="D712">
        <f t="shared" si="11"/>
        <v>1732000950</v>
      </c>
    </row>
    <row r="713" spans="1:4" ht="14" x14ac:dyDescent="0.15">
      <c r="A713" s="322">
        <v>1733100110</v>
      </c>
      <c r="B713" s="322" t="s">
        <v>529</v>
      </c>
      <c r="C713">
        <v>1747200530</v>
      </c>
      <c r="D713">
        <f t="shared" si="11"/>
        <v>1733100110</v>
      </c>
    </row>
    <row r="714" spans="1:4" ht="14" x14ac:dyDescent="0.15">
      <c r="A714" s="322">
        <v>1733100511</v>
      </c>
      <c r="B714" s="322" t="s">
        <v>1817</v>
      </c>
      <c r="C714">
        <v>1747200780</v>
      </c>
      <c r="D714">
        <f t="shared" si="11"/>
        <v>1733100511</v>
      </c>
    </row>
    <row r="715" spans="1:4" ht="14" x14ac:dyDescent="0.15">
      <c r="A715" s="322">
        <v>1733100531</v>
      </c>
      <c r="B715" s="322" t="s">
        <v>1818</v>
      </c>
      <c r="C715">
        <v>1747201731</v>
      </c>
      <c r="D715">
        <f t="shared" si="11"/>
        <v>1733100531</v>
      </c>
    </row>
    <row r="716" spans="1:4" ht="14" x14ac:dyDescent="0.15">
      <c r="A716" s="322">
        <v>1733100560</v>
      </c>
      <c r="B716" s="322" t="s">
        <v>728</v>
      </c>
      <c r="C716">
        <v>1747202731</v>
      </c>
      <c r="D716">
        <f t="shared" si="11"/>
        <v>1733100560</v>
      </c>
    </row>
    <row r="717" spans="1:4" ht="14" x14ac:dyDescent="0.15">
      <c r="A717" s="322">
        <v>1733100731</v>
      </c>
      <c r="B717" s="322" t="s">
        <v>2127</v>
      </c>
      <c r="C717">
        <v>1747203731</v>
      </c>
      <c r="D717">
        <f t="shared" si="11"/>
        <v>1733100731</v>
      </c>
    </row>
    <row r="718" spans="1:4" ht="14" x14ac:dyDescent="0.15">
      <c r="A718" s="322">
        <v>1733100780</v>
      </c>
      <c r="B718" s="322" t="s">
        <v>731</v>
      </c>
      <c r="C718">
        <v>1747220530</v>
      </c>
      <c r="D718">
        <f t="shared" si="11"/>
        <v>1733100780</v>
      </c>
    </row>
    <row r="719" spans="1:4" ht="14" x14ac:dyDescent="0.15">
      <c r="A719" s="322">
        <v>1733100930</v>
      </c>
      <c r="B719" s="322" t="s">
        <v>732</v>
      </c>
      <c r="C719">
        <v>1747300731</v>
      </c>
      <c r="D719">
        <f t="shared" si="11"/>
        <v>1733100930</v>
      </c>
    </row>
    <row r="720" spans="1:4" ht="14" x14ac:dyDescent="0.15">
      <c r="A720" s="322">
        <v>1733110530</v>
      </c>
      <c r="B720" s="322" t="s">
        <v>2128</v>
      </c>
      <c r="C720">
        <v>1747400731</v>
      </c>
      <c r="D720">
        <f t="shared" si="11"/>
        <v>1733110530</v>
      </c>
    </row>
    <row r="721" spans="1:4" ht="14" x14ac:dyDescent="0.15">
      <c r="A721" s="322">
        <v>1733200731</v>
      </c>
      <c r="B721" s="322" t="s">
        <v>1820</v>
      </c>
      <c r="C721">
        <v>1749000110</v>
      </c>
      <c r="D721">
        <f t="shared" si="11"/>
        <v>1733200731</v>
      </c>
    </row>
    <row r="722" spans="1:4" ht="14" x14ac:dyDescent="0.15">
      <c r="A722" s="322">
        <v>1733200780</v>
      </c>
      <c r="B722" s="322" t="s">
        <v>580</v>
      </c>
      <c r="C722">
        <v>1749000750</v>
      </c>
      <c r="D722">
        <f t="shared" si="11"/>
        <v>1733200780</v>
      </c>
    </row>
    <row r="723" spans="1:4" ht="14" x14ac:dyDescent="0.15">
      <c r="A723" s="324">
        <v>1733300731</v>
      </c>
      <c r="B723" s="322" t="s">
        <v>2129</v>
      </c>
      <c r="C723" s="182"/>
      <c r="D723" t="e">
        <f t="shared" si="11"/>
        <v>#N/A</v>
      </c>
    </row>
    <row r="724" spans="1:4" ht="14" x14ac:dyDescent="0.15">
      <c r="A724" s="324">
        <v>1741000750</v>
      </c>
      <c r="B724" s="322" t="s">
        <v>736</v>
      </c>
      <c r="C724" s="182"/>
      <c r="D724" t="e">
        <f t="shared" si="11"/>
        <v>#N/A</v>
      </c>
    </row>
    <row r="725" spans="1:4" ht="14" x14ac:dyDescent="0.15">
      <c r="A725" s="322">
        <v>1742000440</v>
      </c>
      <c r="B725" s="322" t="s">
        <v>558</v>
      </c>
      <c r="C725">
        <v>1751000530</v>
      </c>
      <c r="D725">
        <f t="shared" si="11"/>
        <v>1742000440</v>
      </c>
    </row>
    <row r="726" spans="1:4" ht="14" x14ac:dyDescent="0.15">
      <c r="A726" s="322">
        <v>1742000560</v>
      </c>
      <c r="B726" s="322" t="s">
        <v>728</v>
      </c>
      <c r="C726">
        <v>1751000750</v>
      </c>
      <c r="D726" t="e">
        <f t="shared" si="11"/>
        <v>#N/A</v>
      </c>
    </row>
    <row r="727" spans="1:4" ht="14" x14ac:dyDescent="0.15">
      <c r="A727" s="322">
        <v>1742000720</v>
      </c>
      <c r="B727" s="322" t="s">
        <v>689</v>
      </c>
      <c r="C727">
        <v>1751000780</v>
      </c>
      <c r="D727">
        <f t="shared" si="11"/>
        <v>1742000720</v>
      </c>
    </row>
    <row r="728" spans="1:4" ht="14" x14ac:dyDescent="0.15">
      <c r="A728" s="322">
        <v>1742000740</v>
      </c>
      <c r="B728" s="322" t="s">
        <v>737</v>
      </c>
      <c r="C728">
        <v>1751001731</v>
      </c>
      <c r="D728" t="e">
        <f t="shared" si="11"/>
        <v>#N/A</v>
      </c>
    </row>
    <row r="729" spans="1:4" ht="14" x14ac:dyDescent="0.15">
      <c r="A729" s="322">
        <v>1742000750</v>
      </c>
      <c r="B729" s="322" t="s">
        <v>714</v>
      </c>
      <c r="C729">
        <v>1751001780</v>
      </c>
      <c r="D729">
        <f t="shared" si="11"/>
        <v>1742000750</v>
      </c>
    </row>
    <row r="730" spans="1:4" ht="14" x14ac:dyDescent="0.15">
      <c r="A730" s="322">
        <v>1742000910</v>
      </c>
      <c r="B730" s="322" t="s">
        <v>738</v>
      </c>
      <c r="C730">
        <v>1751002731</v>
      </c>
      <c r="D730">
        <f t="shared" si="11"/>
        <v>1742000910</v>
      </c>
    </row>
    <row r="731" spans="1:4" ht="14" x14ac:dyDescent="0.15">
      <c r="A731" s="322">
        <v>1742000930</v>
      </c>
      <c r="B731" s="322" t="s">
        <v>739</v>
      </c>
      <c r="C731">
        <v>1751002780</v>
      </c>
      <c r="D731">
        <f t="shared" si="11"/>
        <v>1742000930</v>
      </c>
    </row>
    <row r="732" spans="1:4" ht="14" x14ac:dyDescent="0.15">
      <c r="A732" s="322">
        <v>1743000110</v>
      </c>
      <c r="B732" s="322" t="s">
        <v>523</v>
      </c>
      <c r="C732">
        <v>1751003731</v>
      </c>
      <c r="D732">
        <f t="shared" si="11"/>
        <v>1743000110</v>
      </c>
    </row>
    <row r="733" spans="1:4" ht="14" x14ac:dyDescent="0.15">
      <c r="A733" s="322">
        <v>1743000511</v>
      </c>
      <c r="B733" s="322" t="s">
        <v>1821</v>
      </c>
      <c r="C733">
        <v>1751003780</v>
      </c>
      <c r="D733">
        <f t="shared" si="11"/>
        <v>1743000511</v>
      </c>
    </row>
    <row r="734" spans="1:4" ht="14" x14ac:dyDescent="0.15">
      <c r="A734" s="322">
        <v>1743000581</v>
      </c>
      <c r="B734" s="322" t="s">
        <v>2130</v>
      </c>
      <c r="C734">
        <v>1751004731</v>
      </c>
      <c r="D734">
        <f t="shared" si="11"/>
        <v>1743000581</v>
      </c>
    </row>
    <row r="735" spans="1:4" ht="14" x14ac:dyDescent="0.15">
      <c r="A735" s="322">
        <v>1743000720</v>
      </c>
      <c r="B735" s="322" t="s">
        <v>826</v>
      </c>
      <c r="C735">
        <v>1751150811</v>
      </c>
      <c r="D735">
        <f t="shared" si="11"/>
        <v>1743000720</v>
      </c>
    </row>
    <row r="736" spans="1:4" ht="14" x14ac:dyDescent="0.15">
      <c r="A736" s="322">
        <v>1743000740</v>
      </c>
      <c r="B736" s="322" t="s">
        <v>737</v>
      </c>
      <c r="C736">
        <v>1751150812</v>
      </c>
      <c r="D736">
        <f t="shared" si="11"/>
        <v>1743000740</v>
      </c>
    </row>
    <row r="737" spans="1:4" ht="14" x14ac:dyDescent="0.15">
      <c r="A737" s="322">
        <v>1743000742</v>
      </c>
      <c r="B737" s="322" t="s">
        <v>1163</v>
      </c>
      <c r="C737">
        <v>1751160780</v>
      </c>
      <c r="D737">
        <f t="shared" si="11"/>
        <v>1743000742</v>
      </c>
    </row>
    <row r="738" spans="1:4" ht="14" x14ac:dyDescent="0.15">
      <c r="A738" s="322">
        <v>1743000750</v>
      </c>
      <c r="B738" s="322" t="s">
        <v>714</v>
      </c>
      <c r="C738">
        <v>1751160781</v>
      </c>
      <c r="D738">
        <f t="shared" si="11"/>
        <v>1743000750</v>
      </c>
    </row>
    <row r="739" spans="1:4" ht="14" x14ac:dyDescent="0.15">
      <c r="A739" s="322">
        <v>1743000751</v>
      </c>
      <c r="B739" s="322" t="s">
        <v>141</v>
      </c>
      <c r="C739">
        <v>1752001731</v>
      </c>
      <c r="D739">
        <f t="shared" si="11"/>
        <v>1743000751</v>
      </c>
    </row>
    <row r="740" spans="1:4" ht="14" x14ac:dyDescent="0.15">
      <c r="A740" s="322">
        <v>1743000770</v>
      </c>
      <c r="B740" s="322" t="s">
        <v>740</v>
      </c>
      <c r="C740">
        <v>1752100810</v>
      </c>
      <c r="D740">
        <f t="shared" si="11"/>
        <v>1743000770</v>
      </c>
    </row>
    <row r="741" spans="1:4" ht="14" x14ac:dyDescent="0.15">
      <c r="A741" s="322">
        <v>1743000780</v>
      </c>
      <c r="B741" s="322" t="s">
        <v>580</v>
      </c>
      <c r="C741" s="182"/>
      <c r="D741">
        <f t="shared" si="11"/>
        <v>1743000780</v>
      </c>
    </row>
    <row r="742" spans="1:4" ht="14" x14ac:dyDescent="0.15">
      <c r="A742" s="322">
        <v>1743000910</v>
      </c>
      <c r="B742" s="322" t="s">
        <v>741</v>
      </c>
      <c r="C742" s="182"/>
      <c r="D742" t="e">
        <f t="shared" si="11"/>
        <v>#N/A</v>
      </c>
    </row>
    <row r="743" spans="1:4" ht="14" x14ac:dyDescent="0.15">
      <c r="A743" s="322">
        <v>1743000981</v>
      </c>
      <c r="B743" s="322" t="s">
        <v>74</v>
      </c>
      <c r="C743">
        <v>1760000910</v>
      </c>
      <c r="D743" t="e">
        <f t="shared" si="11"/>
        <v>#N/A</v>
      </c>
    </row>
    <row r="744" spans="1:4" ht="14" x14ac:dyDescent="0.15">
      <c r="A744" s="322">
        <v>1743001731</v>
      </c>
      <c r="B744" s="322" t="s">
        <v>2131</v>
      </c>
      <c r="C744">
        <v>1761000110</v>
      </c>
      <c r="D744">
        <f t="shared" si="11"/>
        <v>1743001731</v>
      </c>
    </row>
    <row r="745" spans="1:4" ht="14" x14ac:dyDescent="0.15">
      <c r="A745" s="322">
        <v>1743002731</v>
      </c>
      <c r="B745" s="322" t="s">
        <v>2132</v>
      </c>
      <c r="C745">
        <v>1761000210</v>
      </c>
      <c r="D745">
        <f t="shared" si="11"/>
        <v>1743002731</v>
      </c>
    </row>
    <row r="746" spans="1:4" ht="14" x14ac:dyDescent="0.15">
      <c r="A746" s="322">
        <v>1743003731</v>
      </c>
      <c r="B746" s="322" t="s">
        <v>744</v>
      </c>
      <c r="C746">
        <v>1761000420</v>
      </c>
      <c r="D746">
        <f t="shared" si="11"/>
        <v>1743003731</v>
      </c>
    </row>
    <row r="747" spans="1:4" ht="14" x14ac:dyDescent="0.15">
      <c r="A747" s="322">
        <v>1743004731</v>
      </c>
      <c r="B747" s="322" t="s">
        <v>745</v>
      </c>
      <c r="C747">
        <v>1761000470</v>
      </c>
      <c r="D747">
        <f t="shared" si="11"/>
        <v>1743004731</v>
      </c>
    </row>
    <row r="748" spans="1:4" ht="14" x14ac:dyDescent="0.15">
      <c r="A748" s="322">
        <v>1743005731</v>
      </c>
      <c r="B748" s="322" t="s">
        <v>2133</v>
      </c>
      <c r="C748">
        <v>1761000511</v>
      </c>
      <c r="D748">
        <f t="shared" si="11"/>
        <v>1743005731</v>
      </c>
    </row>
    <row r="749" spans="1:4" ht="14" x14ac:dyDescent="0.15">
      <c r="A749" s="322">
        <v>1743006731</v>
      </c>
      <c r="B749" s="322" t="s">
        <v>2134</v>
      </c>
      <c r="C749">
        <v>1761000540</v>
      </c>
      <c r="D749">
        <f t="shared" si="11"/>
        <v>1743006731</v>
      </c>
    </row>
    <row r="750" spans="1:4" ht="14" x14ac:dyDescent="0.15">
      <c r="A750" s="322">
        <v>1743007530</v>
      </c>
      <c r="B750" s="322" t="s">
        <v>2135</v>
      </c>
      <c r="C750">
        <v>1761000560</v>
      </c>
      <c r="D750">
        <f t="shared" si="11"/>
        <v>1743007530</v>
      </c>
    </row>
    <row r="751" spans="1:4" ht="14" x14ac:dyDescent="0.15">
      <c r="A751" s="322">
        <v>1743007731</v>
      </c>
      <c r="B751" s="322" t="s">
        <v>1511</v>
      </c>
      <c r="C751">
        <v>1761000570</v>
      </c>
      <c r="D751" t="e">
        <f t="shared" si="11"/>
        <v>#N/A</v>
      </c>
    </row>
    <row r="752" spans="1:4" ht="14" x14ac:dyDescent="0.15">
      <c r="A752" s="322">
        <v>1743008530</v>
      </c>
      <c r="B752" s="322" t="s">
        <v>1510</v>
      </c>
      <c r="C752">
        <v>1761000581</v>
      </c>
      <c r="D752" t="e">
        <f t="shared" si="11"/>
        <v>#N/A</v>
      </c>
    </row>
    <row r="753" spans="1:4" ht="14" x14ac:dyDescent="0.15">
      <c r="A753" s="324">
        <v>1743009731</v>
      </c>
      <c r="B753" s="322" t="s">
        <v>2136</v>
      </c>
      <c r="C753">
        <v>1761000930</v>
      </c>
      <c r="D753" t="e">
        <f t="shared" si="11"/>
        <v>#N/A</v>
      </c>
    </row>
    <row r="754" spans="1:4" ht="14" x14ac:dyDescent="0.15">
      <c r="A754" s="322">
        <v>1743200530</v>
      </c>
      <c r="B754" s="322" t="s">
        <v>2137</v>
      </c>
      <c r="C754">
        <v>1764000110</v>
      </c>
      <c r="D754">
        <f t="shared" si="11"/>
        <v>1743200530</v>
      </c>
    </row>
    <row r="755" spans="1:4" ht="14" x14ac:dyDescent="0.15">
      <c r="A755" s="322">
        <v>1744000910</v>
      </c>
      <c r="B755" s="322" t="s">
        <v>738</v>
      </c>
      <c r="C755">
        <v>1764000750</v>
      </c>
      <c r="D755">
        <f t="shared" si="11"/>
        <v>1744000910</v>
      </c>
    </row>
    <row r="756" spans="1:4" ht="14" x14ac:dyDescent="0.15">
      <c r="A756" s="322">
        <v>1744400521</v>
      </c>
      <c r="B756" s="322" t="s">
        <v>646</v>
      </c>
      <c r="C756">
        <v>1764000783</v>
      </c>
      <c r="D756">
        <f t="shared" si="11"/>
        <v>1744400521</v>
      </c>
    </row>
    <row r="757" spans="1:4" ht="14" x14ac:dyDescent="0.15">
      <c r="A757" s="322">
        <v>1744400522</v>
      </c>
      <c r="B757" s="322" t="s">
        <v>748</v>
      </c>
      <c r="C757">
        <v>1765100810</v>
      </c>
      <c r="D757" t="e">
        <f t="shared" si="11"/>
        <v>#N/A</v>
      </c>
    </row>
    <row r="758" spans="1:4" ht="14" x14ac:dyDescent="0.15">
      <c r="A758" s="322">
        <v>1744400750</v>
      </c>
      <c r="B758" s="322" t="s">
        <v>749</v>
      </c>
      <c r="C758">
        <v>1766000810</v>
      </c>
      <c r="D758">
        <f t="shared" si="11"/>
        <v>1744400750</v>
      </c>
    </row>
    <row r="759" spans="1:4" ht="14" x14ac:dyDescent="0.15">
      <c r="A759" s="322">
        <v>1745000810</v>
      </c>
      <c r="B759" s="322" t="s">
        <v>750</v>
      </c>
      <c r="C759">
        <v>1767000440</v>
      </c>
      <c r="D759">
        <f t="shared" si="11"/>
        <v>1745000810</v>
      </c>
    </row>
    <row r="760" spans="1:4" ht="14" x14ac:dyDescent="0.15">
      <c r="A760" s="322">
        <v>1746000110</v>
      </c>
      <c r="B760" s="322" t="s">
        <v>523</v>
      </c>
      <c r="C760">
        <v>1769000781</v>
      </c>
      <c r="D760">
        <f t="shared" si="11"/>
        <v>1746000110</v>
      </c>
    </row>
    <row r="761" spans="1:4" ht="14" x14ac:dyDescent="0.15">
      <c r="A761" s="322">
        <v>1746000210</v>
      </c>
      <c r="B761" s="322" t="s">
        <v>920</v>
      </c>
      <c r="C761">
        <v>1769000785</v>
      </c>
      <c r="D761">
        <f t="shared" si="11"/>
        <v>1746000210</v>
      </c>
    </row>
    <row r="762" spans="1:4" ht="14" x14ac:dyDescent="0.15">
      <c r="A762" s="322">
        <v>1746000430</v>
      </c>
      <c r="B762" s="322" t="s">
        <v>751</v>
      </c>
      <c r="C762">
        <v>1769000810</v>
      </c>
      <c r="D762">
        <f t="shared" si="11"/>
        <v>1746000430</v>
      </c>
    </row>
    <row r="763" spans="1:4" ht="14" x14ac:dyDescent="0.15">
      <c r="A763" s="322">
        <v>1746000530</v>
      </c>
      <c r="B763" s="322" t="s">
        <v>2138</v>
      </c>
      <c r="C763" s="182"/>
      <c r="D763">
        <f t="shared" si="11"/>
        <v>1746000530</v>
      </c>
    </row>
    <row r="764" spans="1:4" ht="14" x14ac:dyDescent="0.15">
      <c r="A764" s="322">
        <v>1746000720</v>
      </c>
      <c r="B764" s="322" t="s">
        <v>752</v>
      </c>
      <c r="C764" s="182"/>
      <c r="D764">
        <f t="shared" si="11"/>
        <v>1746000720</v>
      </c>
    </row>
    <row r="765" spans="1:4" ht="14" x14ac:dyDescent="0.15">
      <c r="A765" s="322">
        <v>1746000731</v>
      </c>
      <c r="B765" s="322" t="s">
        <v>2139</v>
      </c>
      <c r="C765">
        <v>1772000430</v>
      </c>
      <c r="D765">
        <f t="shared" si="11"/>
        <v>1746000731</v>
      </c>
    </row>
    <row r="766" spans="1:4" ht="14" x14ac:dyDescent="0.15">
      <c r="A766" s="322">
        <v>1746000732</v>
      </c>
      <c r="B766" s="322" t="s">
        <v>754</v>
      </c>
      <c r="C766">
        <v>1772000511</v>
      </c>
      <c r="D766" t="e">
        <f t="shared" si="11"/>
        <v>#N/A</v>
      </c>
    </row>
    <row r="767" spans="1:4" ht="14" x14ac:dyDescent="0.15">
      <c r="A767" s="322">
        <v>1746000740</v>
      </c>
      <c r="B767" s="322" t="s">
        <v>755</v>
      </c>
      <c r="C767">
        <v>1772000530</v>
      </c>
      <c r="D767">
        <f t="shared" si="11"/>
        <v>1746000740</v>
      </c>
    </row>
    <row r="768" spans="1:4" ht="14" x14ac:dyDescent="0.15">
      <c r="A768" s="322">
        <v>1746000750</v>
      </c>
      <c r="B768" s="322" t="s">
        <v>756</v>
      </c>
      <c r="C768">
        <v>1772000550</v>
      </c>
      <c r="D768">
        <f t="shared" si="11"/>
        <v>1746000750</v>
      </c>
    </row>
    <row r="769" spans="1:4" ht="14" x14ac:dyDescent="0.15">
      <c r="A769" s="322">
        <v>1746000751</v>
      </c>
      <c r="B769" s="322" t="s">
        <v>757</v>
      </c>
      <c r="C769">
        <v>1772000561</v>
      </c>
      <c r="D769">
        <f t="shared" si="11"/>
        <v>1746000751</v>
      </c>
    </row>
    <row r="770" spans="1:4" ht="14" x14ac:dyDescent="0.15">
      <c r="A770" s="322">
        <v>1746000752</v>
      </c>
      <c r="B770" s="322" t="s">
        <v>758</v>
      </c>
      <c r="C770">
        <v>1772000581</v>
      </c>
      <c r="D770">
        <f t="shared" si="11"/>
        <v>1746000752</v>
      </c>
    </row>
    <row r="771" spans="1:4" ht="14" x14ac:dyDescent="0.15">
      <c r="A771" s="322">
        <v>1746000753</v>
      </c>
      <c r="B771" s="322" t="s">
        <v>144</v>
      </c>
      <c r="C771">
        <v>1772000731</v>
      </c>
      <c r="D771" t="e">
        <f t="shared" si="11"/>
        <v>#N/A</v>
      </c>
    </row>
    <row r="772" spans="1:4" ht="14" x14ac:dyDescent="0.15">
      <c r="A772" s="322">
        <v>1746000754</v>
      </c>
      <c r="B772" s="322" t="s">
        <v>145</v>
      </c>
      <c r="C772">
        <v>1772000750</v>
      </c>
      <c r="D772">
        <f t="shared" ref="D772:D835" si="12">VLOOKUP(A772,$C$3:$C$1296,1,FALSE)</f>
        <v>1746000754</v>
      </c>
    </row>
    <row r="773" spans="1:4" ht="14" x14ac:dyDescent="0.15">
      <c r="A773" s="322">
        <v>1746000770</v>
      </c>
      <c r="B773" s="322" t="s">
        <v>759</v>
      </c>
      <c r="C773">
        <v>1772000780</v>
      </c>
      <c r="D773" t="e">
        <f t="shared" si="12"/>
        <v>#N/A</v>
      </c>
    </row>
    <row r="774" spans="1:4" ht="14" x14ac:dyDescent="0.15">
      <c r="A774" s="322">
        <v>1746000780</v>
      </c>
      <c r="B774" s="322" t="s">
        <v>760</v>
      </c>
      <c r="C774">
        <v>1772000910</v>
      </c>
      <c r="D774">
        <f t="shared" si="12"/>
        <v>1746000780</v>
      </c>
    </row>
    <row r="775" spans="1:4" ht="14" x14ac:dyDescent="0.15">
      <c r="A775" s="322">
        <v>1746000931</v>
      </c>
      <c r="B775" s="322" t="s">
        <v>761</v>
      </c>
      <c r="C775" s="182"/>
      <c r="D775">
        <f t="shared" si="12"/>
        <v>1746000931</v>
      </c>
    </row>
    <row r="776" spans="1:4" ht="14" x14ac:dyDescent="0.15">
      <c r="A776" s="322">
        <v>1746001530</v>
      </c>
      <c r="B776" s="322" t="s">
        <v>1824</v>
      </c>
      <c r="C776">
        <v>1781000110</v>
      </c>
      <c r="D776">
        <f t="shared" si="12"/>
        <v>1746001530</v>
      </c>
    </row>
    <row r="777" spans="1:4" ht="14" x14ac:dyDescent="0.15">
      <c r="A777" s="322">
        <v>1746001731</v>
      </c>
      <c r="B777" s="322" t="s">
        <v>1612</v>
      </c>
      <c r="C777">
        <v>1781000210</v>
      </c>
      <c r="D777">
        <f t="shared" si="12"/>
        <v>1746001731</v>
      </c>
    </row>
    <row r="778" spans="1:4" ht="14" x14ac:dyDescent="0.15">
      <c r="A778" s="324">
        <v>1746003731</v>
      </c>
      <c r="B778" s="322" t="s">
        <v>2140</v>
      </c>
      <c r="C778">
        <v>1781000560</v>
      </c>
      <c r="D778" t="e">
        <f t="shared" si="12"/>
        <v>#N/A</v>
      </c>
    </row>
    <row r="779" spans="1:4" ht="14" x14ac:dyDescent="0.15">
      <c r="A779" s="322">
        <v>1746100110</v>
      </c>
      <c r="B779" s="322" t="s">
        <v>530</v>
      </c>
      <c r="C779">
        <v>1781000570</v>
      </c>
      <c r="D779">
        <f t="shared" si="12"/>
        <v>1746100110</v>
      </c>
    </row>
    <row r="780" spans="1:4" ht="14" x14ac:dyDescent="0.15">
      <c r="A780" s="324">
        <v>1746100210</v>
      </c>
      <c r="B780" s="322" t="s">
        <v>249</v>
      </c>
      <c r="C780">
        <v>1781000581</v>
      </c>
      <c r="D780" t="e">
        <f t="shared" si="12"/>
        <v>#N/A</v>
      </c>
    </row>
    <row r="781" spans="1:4" ht="14" x14ac:dyDescent="0.15">
      <c r="A781" s="322">
        <v>1746100511</v>
      </c>
      <c r="B781" s="322" t="s">
        <v>1934</v>
      </c>
      <c r="C781">
        <v>1781000752</v>
      </c>
      <c r="D781">
        <f t="shared" si="12"/>
        <v>1746100511</v>
      </c>
    </row>
    <row r="782" spans="1:4" ht="14" x14ac:dyDescent="0.15">
      <c r="A782" s="322">
        <v>1746100521</v>
      </c>
      <c r="B782" s="322" t="s">
        <v>1613</v>
      </c>
      <c r="C782">
        <v>1781000753</v>
      </c>
      <c r="D782">
        <f t="shared" si="12"/>
        <v>1746100521</v>
      </c>
    </row>
    <row r="783" spans="1:4" ht="14" x14ac:dyDescent="0.15">
      <c r="A783" s="322">
        <v>1746100560</v>
      </c>
      <c r="B783" s="322" t="s">
        <v>762</v>
      </c>
      <c r="C783">
        <v>1781000930</v>
      </c>
      <c r="D783">
        <f t="shared" si="12"/>
        <v>1746100560</v>
      </c>
    </row>
    <row r="784" spans="1:4" ht="14" x14ac:dyDescent="0.15">
      <c r="A784" s="322">
        <v>1746100581</v>
      </c>
      <c r="B784" s="322" t="s">
        <v>1935</v>
      </c>
      <c r="C784">
        <v>1781003731</v>
      </c>
      <c r="D784">
        <f t="shared" si="12"/>
        <v>1746100581</v>
      </c>
    </row>
    <row r="785" spans="1:4" ht="14" x14ac:dyDescent="0.15">
      <c r="A785" s="322">
        <v>1746100720</v>
      </c>
      <c r="B785" s="322" t="s">
        <v>763</v>
      </c>
      <c r="C785">
        <v>1781004731</v>
      </c>
      <c r="D785">
        <f t="shared" si="12"/>
        <v>1746100720</v>
      </c>
    </row>
    <row r="786" spans="1:4" ht="14" x14ac:dyDescent="0.15">
      <c r="A786" s="322">
        <v>1746100731</v>
      </c>
      <c r="B786" s="322" t="s">
        <v>2141</v>
      </c>
      <c r="C786">
        <v>1781005731</v>
      </c>
      <c r="D786">
        <f t="shared" si="12"/>
        <v>1746100731</v>
      </c>
    </row>
    <row r="787" spans="1:4" ht="14" x14ac:dyDescent="0.15">
      <c r="A787" s="322">
        <v>1746100732</v>
      </c>
      <c r="B787" s="322" t="s">
        <v>1508</v>
      </c>
      <c r="C787">
        <v>1781006731</v>
      </c>
      <c r="D787" t="e">
        <f t="shared" si="12"/>
        <v>#N/A</v>
      </c>
    </row>
    <row r="788" spans="1:4" ht="14" x14ac:dyDescent="0.15">
      <c r="A788" s="322">
        <v>1746100733</v>
      </c>
      <c r="B788" s="322" t="s">
        <v>1507</v>
      </c>
      <c r="C788">
        <v>1781007731</v>
      </c>
      <c r="D788" t="e">
        <f t="shared" si="12"/>
        <v>#N/A</v>
      </c>
    </row>
    <row r="789" spans="1:4" ht="14" x14ac:dyDescent="0.15">
      <c r="A789" s="322">
        <v>1746100740</v>
      </c>
      <c r="B789" s="322" t="s">
        <v>767</v>
      </c>
      <c r="C789">
        <v>1781008731</v>
      </c>
      <c r="D789">
        <f t="shared" si="12"/>
        <v>1746100740</v>
      </c>
    </row>
    <row r="790" spans="1:4" ht="14" x14ac:dyDescent="0.15">
      <c r="A790" s="322">
        <v>1746100750</v>
      </c>
      <c r="B790" s="322" t="s">
        <v>1152</v>
      </c>
      <c r="C790">
        <v>1781100110</v>
      </c>
      <c r="D790">
        <f t="shared" si="12"/>
        <v>1746100750</v>
      </c>
    </row>
    <row r="791" spans="1:4" ht="14" x14ac:dyDescent="0.15">
      <c r="A791" s="322">
        <v>1746100751</v>
      </c>
      <c r="B791" s="322" t="s">
        <v>1614</v>
      </c>
      <c r="C791">
        <v>1781100442</v>
      </c>
      <c r="D791">
        <f t="shared" si="12"/>
        <v>1746100751</v>
      </c>
    </row>
    <row r="792" spans="1:4" ht="14" x14ac:dyDescent="0.15">
      <c r="A792" s="322">
        <v>1746100752</v>
      </c>
      <c r="B792" s="322" t="s">
        <v>1664</v>
      </c>
      <c r="C792">
        <v>1781100511</v>
      </c>
      <c r="D792">
        <f t="shared" si="12"/>
        <v>1746100752</v>
      </c>
    </row>
    <row r="793" spans="1:4" ht="14" x14ac:dyDescent="0.15">
      <c r="A793" s="322">
        <v>1746100780</v>
      </c>
      <c r="B793" s="322" t="s">
        <v>768</v>
      </c>
      <c r="C793">
        <v>1781100521</v>
      </c>
      <c r="D793">
        <f t="shared" si="12"/>
        <v>1746100780</v>
      </c>
    </row>
    <row r="794" spans="1:4" ht="14" x14ac:dyDescent="0.15">
      <c r="A794" s="322">
        <v>1746101731</v>
      </c>
      <c r="B794" s="322" t="s">
        <v>2142</v>
      </c>
      <c r="C794">
        <v>1781100570</v>
      </c>
      <c r="D794">
        <f t="shared" si="12"/>
        <v>1746101731</v>
      </c>
    </row>
    <row r="795" spans="1:4" ht="14" x14ac:dyDescent="0.15">
      <c r="A795" s="322">
        <v>1746102731</v>
      </c>
      <c r="B795" s="322" t="s">
        <v>2143</v>
      </c>
      <c r="C795">
        <v>1781100743</v>
      </c>
      <c r="D795">
        <f t="shared" si="12"/>
        <v>1746102731</v>
      </c>
    </row>
    <row r="796" spans="1:4" ht="14" x14ac:dyDescent="0.15">
      <c r="A796" s="322">
        <v>1746103731</v>
      </c>
      <c r="B796" s="322" t="s">
        <v>1504</v>
      </c>
      <c r="C796">
        <v>1781100750</v>
      </c>
      <c r="D796">
        <f t="shared" si="12"/>
        <v>1746103731</v>
      </c>
    </row>
    <row r="797" spans="1:4" ht="14" x14ac:dyDescent="0.15">
      <c r="A797" s="322">
        <v>1746104731</v>
      </c>
      <c r="B797" s="322" t="s">
        <v>2144</v>
      </c>
      <c r="C797">
        <v>1781100751</v>
      </c>
      <c r="D797">
        <f t="shared" si="12"/>
        <v>1746104731</v>
      </c>
    </row>
    <row r="798" spans="1:4" ht="14" x14ac:dyDescent="0.15">
      <c r="A798" s="322">
        <v>1746200530</v>
      </c>
      <c r="B798" s="322" t="s">
        <v>2145</v>
      </c>
      <c r="C798">
        <v>1781100780</v>
      </c>
      <c r="D798">
        <f t="shared" si="12"/>
        <v>1746200530</v>
      </c>
    </row>
    <row r="799" spans="1:4" s="163" customFormat="1" ht="14" x14ac:dyDescent="0.15">
      <c r="A799" s="326">
        <v>1746200731</v>
      </c>
      <c r="B799" s="326" t="s">
        <v>119</v>
      </c>
      <c r="C799" s="163">
        <v>1781100781</v>
      </c>
      <c r="D799" s="163" t="e">
        <f t="shared" si="12"/>
        <v>#N/A</v>
      </c>
    </row>
    <row r="800" spans="1:4" ht="14" x14ac:dyDescent="0.15">
      <c r="A800" s="322">
        <v>1746300731</v>
      </c>
      <c r="B800" s="322" t="s">
        <v>2146</v>
      </c>
      <c r="C800">
        <v>1781100930</v>
      </c>
      <c r="D800">
        <f t="shared" si="12"/>
        <v>1746300731</v>
      </c>
    </row>
    <row r="801" spans="1:4" ht="14" x14ac:dyDescent="0.15">
      <c r="A801" s="322">
        <v>1746400731</v>
      </c>
      <c r="B801" s="322" t="s">
        <v>2147</v>
      </c>
      <c r="C801">
        <v>1781200110</v>
      </c>
      <c r="D801">
        <f t="shared" si="12"/>
        <v>1746400731</v>
      </c>
    </row>
    <row r="802" spans="1:4" ht="14" x14ac:dyDescent="0.15">
      <c r="A802" s="322">
        <v>1746500731</v>
      </c>
      <c r="B802" s="322" t="s">
        <v>2148</v>
      </c>
      <c r="C802">
        <v>1781200210</v>
      </c>
      <c r="D802">
        <f t="shared" si="12"/>
        <v>1746500731</v>
      </c>
    </row>
    <row r="803" spans="1:4" ht="14" x14ac:dyDescent="0.15">
      <c r="A803" s="322">
        <v>1747000731</v>
      </c>
      <c r="B803" s="322" t="s">
        <v>1616</v>
      </c>
      <c r="C803">
        <v>1781200521</v>
      </c>
      <c r="D803">
        <f t="shared" si="12"/>
        <v>1747000731</v>
      </c>
    </row>
    <row r="804" spans="1:4" ht="14" x14ac:dyDescent="0.15">
      <c r="A804" s="322">
        <v>1747200110</v>
      </c>
      <c r="B804" s="322" t="s">
        <v>531</v>
      </c>
      <c r="C804">
        <v>1781200743</v>
      </c>
      <c r="D804">
        <f t="shared" si="12"/>
        <v>1747200110</v>
      </c>
    </row>
    <row r="805" spans="1:4" ht="14" x14ac:dyDescent="0.15">
      <c r="A805" s="322">
        <v>1747200530</v>
      </c>
      <c r="B805" s="322" t="s">
        <v>2149</v>
      </c>
      <c r="C805">
        <v>1781200744</v>
      </c>
      <c r="D805">
        <f t="shared" si="12"/>
        <v>1747200530</v>
      </c>
    </row>
    <row r="806" spans="1:4" ht="14" x14ac:dyDescent="0.15">
      <c r="A806" s="322">
        <v>1747200780</v>
      </c>
      <c r="B806" s="322" t="s">
        <v>773</v>
      </c>
      <c r="C806">
        <v>1781375731</v>
      </c>
      <c r="D806">
        <f t="shared" si="12"/>
        <v>1747200780</v>
      </c>
    </row>
    <row r="807" spans="1:4" ht="14" x14ac:dyDescent="0.15">
      <c r="A807" s="322">
        <v>1747201731</v>
      </c>
      <c r="B807" s="322" t="s">
        <v>1696</v>
      </c>
      <c r="C807">
        <v>1781385731</v>
      </c>
      <c r="D807">
        <f t="shared" si="12"/>
        <v>1747201731</v>
      </c>
    </row>
    <row r="808" spans="1:4" ht="14" x14ac:dyDescent="0.15">
      <c r="A808" s="322">
        <v>1747202731</v>
      </c>
      <c r="B808" s="322" t="s">
        <v>2150</v>
      </c>
      <c r="C808" s="182"/>
      <c r="D808">
        <f t="shared" si="12"/>
        <v>1747202731</v>
      </c>
    </row>
    <row r="809" spans="1:4" ht="14" x14ac:dyDescent="0.15">
      <c r="A809" s="322">
        <v>1747203731</v>
      </c>
      <c r="B809" s="322" t="s">
        <v>1835</v>
      </c>
      <c r="C809" s="182"/>
      <c r="D809">
        <f t="shared" si="12"/>
        <v>1747203731</v>
      </c>
    </row>
    <row r="810" spans="1:4" ht="14" x14ac:dyDescent="0.15">
      <c r="A810" s="322">
        <v>1747220530</v>
      </c>
      <c r="B810" s="322" t="s">
        <v>1501</v>
      </c>
      <c r="C810">
        <v>1811000110</v>
      </c>
      <c r="D810">
        <f t="shared" si="12"/>
        <v>1747220530</v>
      </c>
    </row>
    <row r="811" spans="1:4" ht="14" x14ac:dyDescent="0.15">
      <c r="A811" s="322">
        <v>1747220731</v>
      </c>
      <c r="B811" s="322" t="s">
        <v>1501</v>
      </c>
      <c r="C811">
        <v>1811000422</v>
      </c>
      <c r="D811" t="e">
        <f t="shared" si="12"/>
        <v>#N/A</v>
      </c>
    </row>
    <row r="812" spans="1:4" ht="14" x14ac:dyDescent="0.15">
      <c r="A812" s="322">
        <v>1747300731</v>
      </c>
      <c r="B812" s="322" t="s">
        <v>1836</v>
      </c>
      <c r="C812">
        <v>1811000440</v>
      </c>
      <c r="D812">
        <f t="shared" si="12"/>
        <v>1747300731</v>
      </c>
    </row>
    <row r="813" spans="1:4" ht="14" x14ac:dyDescent="0.15">
      <c r="A813" s="322">
        <v>1747400731</v>
      </c>
      <c r="B813" s="322" t="s">
        <v>1837</v>
      </c>
      <c r="C813">
        <v>1811000470</v>
      </c>
      <c r="D813">
        <f t="shared" si="12"/>
        <v>1747400731</v>
      </c>
    </row>
    <row r="814" spans="1:4" ht="14" x14ac:dyDescent="0.15">
      <c r="A814" s="322">
        <v>1749000110</v>
      </c>
      <c r="B814" s="322" t="s">
        <v>523</v>
      </c>
      <c r="C814">
        <v>1811000511</v>
      </c>
      <c r="D814">
        <f t="shared" si="12"/>
        <v>1749000110</v>
      </c>
    </row>
    <row r="815" spans="1:4" ht="14" x14ac:dyDescent="0.15">
      <c r="A815" s="322">
        <v>1749000731</v>
      </c>
      <c r="B815" s="322" t="s">
        <v>1500</v>
      </c>
      <c r="C815">
        <v>1811000530</v>
      </c>
      <c r="D815" t="e">
        <f t="shared" si="12"/>
        <v>#N/A</v>
      </c>
    </row>
    <row r="816" spans="1:4" ht="14" x14ac:dyDescent="0.15">
      <c r="A816" s="322">
        <v>1749000750</v>
      </c>
      <c r="B816" s="322" t="s">
        <v>714</v>
      </c>
      <c r="C816">
        <v>1811000550</v>
      </c>
      <c r="D816">
        <f t="shared" si="12"/>
        <v>1749000750</v>
      </c>
    </row>
    <row r="817" spans="1:4" ht="14" x14ac:dyDescent="0.15">
      <c r="A817" s="322">
        <v>1749000981</v>
      </c>
      <c r="B817" s="322" t="s">
        <v>74</v>
      </c>
      <c r="C817">
        <v>1811000560</v>
      </c>
      <c r="D817" t="e">
        <f t="shared" si="12"/>
        <v>#N/A</v>
      </c>
    </row>
    <row r="818" spans="1:4" ht="14" x14ac:dyDescent="0.15">
      <c r="A818" s="322">
        <v>1751000110</v>
      </c>
      <c r="B818" s="322" t="s">
        <v>919</v>
      </c>
      <c r="C818">
        <v>1811000570</v>
      </c>
      <c r="D818" t="e">
        <f t="shared" si="12"/>
        <v>#N/A</v>
      </c>
    </row>
    <row r="819" spans="1:4" ht="14" x14ac:dyDescent="0.15">
      <c r="A819" s="322">
        <v>1751000530</v>
      </c>
      <c r="B819" s="322" t="s">
        <v>2151</v>
      </c>
      <c r="C819">
        <v>1811000571</v>
      </c>
      <c r="D819">
        <f t="shared" si="12"/>
        <v>1751000530</v>
      </c>
    </row>
    <row r="820" spans="1:4" ht="14" x14ac:dyDescent="0.15">
      <c r="A820" s="322">
        <v>1751000750</v>
      </c>
      <c r="B820" s="322" t="s">
        <v>1578</v>
      </c>
      <c r="C820">
        <v>1811000580</v>
      </c>
      <c r="D820">
        <f t="shared" si="12"/>
        <v>1751000750</v>
      </c>
    </row>
    <row r="821" spans="1:4" ht="14" x14ac:dyDescent="0.15">
      <c r="A821" s="322">
        <v>1751000780</v>
      </c>
      <c r="B821" s="322" t="s">
        <v>776</v>
      </c>
      <c r="C821">
        <v>1811000581</v>
      </c>
      <c r="D821">
        <f t="shared" si="12"/>
        <v>1751000780</v>
      </c>
    </row>
    <row r="822" spans="1:4" ht="14" x14ac:dyDescent="0.15">
      <c r="A822" s="322">
        <v>1751001731</v>
      </c>
      <c r="B822" s="322" t="s">
        <v>1498</v>
      </c>
      <c r="C822">
        <v>1811000780</v>
      </c>
      <c r="D822">
        <f t="shared" si="12"/>
        <v>1751001731</v>
      </c>
    </row>
    <row r="823" spans="1:4" ht="14" x14ac:dyDescent="0.15">
      <c r="A823" s="322">
        <v>1751001780</v>
      </c>
      <c r="B823" s="322" t="s">
        <v>778</v>
      </c>
      <c r="C823">
        <v>1811000910</v>
      </c>
      <c r="D823">
        <f t="shared" si="12"/>
        <v>1751001780</v>
      </c>
    </row>
    <row r="824" spans="1:4" ht="14" x14ac:dyDescent="0.15">
      <c r="A824" s="322">
        <v>1751002731</v>
      </c>
      <c r="B824" s="322" t="s">
        <v>2152</v>
      </c>
      <c r="C824">
        <v>1811000930</v>
      </c>
      <c r="D824">
        <f t="shared" si="12"/>
        <v>1751002731</v>
      </c>
    </row>
    <row r="825" spans="1:4" ht="14" x14ac:dyDescent="0.15">
      <c r="A825" s="322">
        <v>1751002780</v>
      </c>
      <c r="B825" s="322" t="s">
        <v>780</v>
      </c>
      <c r="C825">
        <v>1811001530</v>
      </c>
      <c r="D825">
        <f t="shared" si="12"/>
        <v>1751002780</v>
      </c>
    </row>
    <row r="826" spans="1:4" ht="14" x14ac:dyDescent="0.15">
      <c r="A826" s="322">
        <v>1751003731</v>
      </c>
      <c r="B826" s="322" t="s">
        <v>2153</v>
      </c>
      <c r="C826">
        <v>1811002731</v>
      </c>
      <c r="D826">
        <f t="shared" si="12"/>
        <v>1751003731</v>
      </c>
    </row>
    <row r="827" spans="1:4" ht="14" x14ac:dyDescent="0.15">
      <c r="A827" s="322">
        <v>1751003780</v>
      </c>
      <c r="B827" s="322" t="s">
        <v>147</v>
      </c>
      <c r="C827">
        <v>1812200110</v>
      </c>
      <c r="D827">
        <f t="shared" si="12"/>
        <v>1751003780</v>
      </c>
    </row>
    <row r="828" spans="1:4" ht="14" x14ac:dyDescent="0.15">
      <c r="A828" s="324">
        <v>1751003781</v>
      </c>
      <c r="B828" s="322" t="s">
        <v>2154</v>
      </c>
      <c r="C828">
        <v>1812200210</v>
      </c>
      <c r="D828" t="e">
        <f t="shared" si="12"/>
        <v>#N/A</v>
      </c>
    </row>
    <row r="829" spans="1:4" ht="14" x14ac:dyDescent="0.15">
      <c r="A829" s="322">
        <v>1751004731</v>
      </c>
      <c r="B829" s="322" t="s">
        <v>2155</v>
      </c>
      <c r="C829">
        <v>1812200430</v>
      </c>
      <c r="D829">
        <f t="shared" si="12"/>
        <v>1751004731</v>
      </c>
    </row>
    <row r="830" spans="1:4" ht="14" x14ac:dyDescent="0.15">
      <c r="A830" s="324">
        <v>1751004780</v>
      </c>
      <c r="B830" s="322" t="s">
        <v>2156</v>
      </c>
      <c r="C830">
        <v>1812200540</v>
      </c>
      <c r="D830" t="e">
        <f t="shared" si="12"/>
        <v>#N/A</v>
      </c>
    </row>
    <row r="831" spans="1:4" ht="14" x14ac:dyDescent="0.15">
      <c r="A831" s="322">
        <v>1751150780</v>
      </c>
      <c r="B831" s="322" t="s">
        <v>782</v>
      </c>
      <c r="C831">
        <v>1812200550</v>
      </c>
      <c r="D831" t="e">
        <f t="shared" si="12"/>
        <v>#N/A</v>
      </c>
    </row>
    <row r="832" spans="1:4" ht="14" x14ac:dyDescent="0.15">
      <c r="A832" s="322">
        <v>1751150811</v>
      </c>
      <c r="B832" s="322" t="s">
        <v>78</v>
      </c>
      <c r="C832">
        <v>1812200720</v>
      </c>
      <c r="D832">
        <f t="shared" si="12"/>
        <v>1751150811</v>
      </c>
    </row>
    <row r="833" spans="1:4" ht="14" x14ac:dyDescent="0.15">
      <c r="A833" s="322">
        <v>1751150812</v>
      </c>
      <c r="B833" s="322" t="s">
        <v>120</v>
      </c>
      <c r="C833">
        <v>1812200721</v>
      </c>
      <c r="D833">
        <f t="shared" si="12"/>
        <v>1751150812</v>
      </c>
    </row>
    <row r="834" spans="1:4" ht="14" x14ac:dyDescent="0.15">
      <c r="A834" s="322">
        <v>1751160780</v>
      </c>
      <c r="B834" s="322" t="s">
        <v>1333</v>
      </c>
      <c r="C834">
        <v>1812200750</v>
      </c>
      <c r="D834">
        <f t="shared" si="12"/>
        <v>1751160780</v>
      </c>
    </row>
    <row r="835" spans="1:4" ht="14" x14ac:dyDescent="0.15">
      <c r="A835" s="322">
        <v>1751160781</v>
      </c>
      <c r="B835" s="322" t="s">
        <v>1647</v>
      </c>
      <c r="C835">
        <v>1812200780</v>
      </c>
      <c r="D835">
        <f t="shared" si="12"/>
        <v>1751160781</v>
      </c>
    </row>
    <row r="836" spans="1:4" ht="14" x14ac:dyDescent="0.15">
      <c r="A836" s="322">
        <v>1752001731</v>
      </c>
      <c r="B836" s="322" t="s">
        <v>148</v>
      </c>
      <c r="C836">
        <v>1812200811</v>
      </c>
      <c r="D836">
        <f t="shared" ref="D836:D899" si="13">VLOOKUP(A836,$C$3:$C$1296,1,FALSE)</f>
        <v>1752001731</v>
      </c>
    </row>
    <row r="837" spans="1:4" ht="14" x14ac:dyDescent="0.15">
      <c r="A837" s="322">
        <v>1752100810</v>
      </c>
      <c r="B837" s="322" t="s">
        <v>783</v>
      </c>
      <c r="C837">
        <v>1812200930</v>
      </c>
      <c r="D837">
        <f t="shared" si="13"/>
        <v>1752100810</v>
      </c>
    </row>
    <row r="838" spans="1:4" ht="14" x14ac:dyDescent="0.15">
      <c r="A838" s="322">
        <v>1760000910</v>
      </c>
      <c r="B838" s="322" t="s">
        <v>704</v>
      </c>
      <c r="C838">
        <v>1812201560</v>
      </c>
      <c r="D838">
        <f t="shared" si="13"/>
        <v>1760000910</v>
      </c>
    </row>
    <row r="839" spans="1:4" ht="14" x14ac:dyDescent="0.15">
      <c r="A839" s="322">
        <v>1760000981</v>
      </c>
      <c r="B839" s="322" t="s">
        <v>74</v>
      </c>
      <c r="C839">
        <v>1812201780</v>
      </c>
      <c r="D839" t="e">
        <f t="shared" si="13"/>
        <v>#N/A</v>
      </c>
    </row>
    <row r="840" spans="1:4" ht="14" x14ac:dyDescent="0.15">
      <c r="A840" s="322">
        <v>1761000110</v>
      </c>
      <c r="B840" s="322" t="s">
        <v>532</v>
      </c>
      <c r="C840">
        <v>1812210110</v>
      </c>
      <c r="D840">
        <f t="shared" si="13"/>
        <v>1761000110</v>
      </c>
    </row>
    <row r="841" spans="1:4" ht="14" x14ac:dyDescent="0.15">
      <c r="A841" s="322">
        <v>1761000210</v>
      </c>
      <c r="B841" s="322" t="s">
        <v>250</v>
      </c>
      <c r="C841">
        <v>1812210210</v>
      </c>
      <c r="D841">
        <f t="shared" si="13"/>
        <v>1761000210</v>
      </c>
    </row>
    <row r="842" spans="1:4" ht="14" x14ac:dyDescent="0.15">
      <c r="A842" s="322">
        <v>1761000420</v>
      </c>
      <c r="B842" s="322" t="s">
        <v>784</v>
      </c>
      <c r="C842">
        <v>1812210760</v>
      </c>
      <c r="D842">
        <f t="shared" si="13"/>
        <v>1761000420</v>
      </c>
    </row>
    <row r="843" spans="1:4" ht="14" x14ac:dyDescent="0.15">
      <c r="A843" s="322">
        <v>1761000430</v>
      </c>
      <c r="B843" s="322" t="s">
        <v>150</v>
      </c>
      <c r="C843">
        <v>1812220760</v>
      </c>
      <c r="D843" t="e">
        <f t="shared" si="13"/>
        <v>#N/A</v>
      </c>
    </row>
    <row r="844" spans="1:4" ht="14" x14ac:dyDescent="0.15">
      <c r="A844" s="322">
        <v>1761000470</v>
      </c>
      <c r="B844" s="322" t="s">
        <v>785</v>
      </c>
      <c r="C844">
        <v>1812500780</v>
      </c>
      <c r="D844">
        <f t="shared" si="13"/>
        <v>1761000470</v>
      </c>
    </row>
    <row r="845" spans="1:4" ht="14" x14ac:dyDescent="0.15">
      <c r="A845" s="322">
        <v>1761000511</v>
      </c>
      <c r="B845" s="322" t="s">
        <v>1840</v>
      </c>
      <c r="C845">
        <v>1812501780</v>
      </c>
      <c r="D845">
        <f t="shared" si="13"/>
        <v>1761000511</v>
      </c>
    </row>
    <row r="846" spans="1:4" ht="14" x14ac:dyDescent="0.15">
      <c r="A846" s="322">
        <v>1761000540</v>
      </c>
      <c r="B846" s="322" t="s">
        <v>786</v>
      </c>
      <c r="C846">
        <v>1813200430</v>
      </c>
      <c r="D846">
        <f t="shared" si="13"/>
        <v>1761000540</v>
      </c>
    </row>
    <row r="847" spans="1:4" ht="14" x14ac:dyDescent="0.15">
      <c r="A847" s="322">
        <v>1761000560</v>
      </c>
      <c r="B847" s="322" t="s">
        <v>1841</v>
      </c>
      <c r="C847">
        <v>1813200470</v>
      </c>
      <c r="D847">
        <f t="shared" si="13"/>
        <v>1761000560</v>
      </c>
    </row>
    <row r="848" spans="1:4" ht="14" x14ac:dyDescent="0.15">
      <c r="A848" s="322">
        <v>1761000570</v>
      </c>
      <c r="B848" s="322" t="s">
        <v>1842</v>
      </c>
      <c r="C848">
        <v>1813200540</v>
      </c>
      <c r="D848">
        <f t="shared" si="13"/>
        <v>1761000570</v>
      </c>
    </row>
    <row r="849" spans="1:4" ht="14" x14ac:dyDescent="0.15">
      <c r="A849" s="322">
        <v>1761000581</v>
      </c>
      <c r="B849" s="322" t="s">
        <v>1843</v>
      </c>
      <c r="C849">
        <v>1813200720</v>
      </c>
      <c r="D849">
        <f t="shared" si="13"/>
        <v>1761000581</v>
      </c>
    </row>
    <row r="850" spans="1:4" ht="14" x14ac:dyDescent="0.15">
      <c r="A850" s="324">
        <v>1761000720</v>
      </c>
      <c r="B850" s="322" t="s">
        <v>2062</v>
      </c>
      <c r="C850">
        <v>1813200721</v>
      </c>
      <c r="D850" t="e">
        <f t="shared" si="13"/>
        <v>#N/A</v>
      </c>
    </row>
    <row r="851" spans="1:4" ht="14" x14ac:dyDescent="0.15">
      <c r="A851" s="322">
        <v>1761000731</v>
      </c>
      <c r="B851" s="322" t="s">
        <v>121</v>
      </c>
      <c r="C851">
        <v>1813200723</v>
      </c>
      <c r="D851" t="e">
        <f t="shared" si="13"/>
        <v>#N/A</v>
      </c>
    </row>
    <row r="852" spans="1:4" ht="14" x14ac:dyDescent="0.15">
      <c r="A852" s="322">
        <v>1761000930</v>
      </c>
      <c r="B852" s="322" t="s">
        <v>788</v>
      </c>
      <c r="C852">
        <v>1813200750</v>
      </c>
      <c r="D852">
        <f t="shared" si="13"/>
        <v>1761000930</v>
      </c>
    </row>
    <row r="853" spans="1:4" ht="14" x14ac:dyDescent="0.15">
      <c r="A853" s="322">
        <v>1764000110</v>
      </c>
      <c r="B853" s="322" t="s">
        <v>523</v>
      </c>
      <c r="C853">
        <v>1813200780</v>
      </c>
      <c r="D853">
        <f t="shared" si="13"/>
        <v>1764000110</v>
      </c>
    </row>
    <row r="854" spans="1:4" ht="14" x14ac:dyDescent="0.15">
      <c r="A854" s="322">
        <v>1764000731</v>
      </c>
      <c r="B854" s="322" t="s">
        <v>122</v>
      </c>
      <c r="C854">
        <v>1813200910</v>
      </c>
      <c r="D854" t="e">
        <f t="shared" si="13"/>
        <v>#N/A</v>
      </c>
    </row>
    <row r="855" spans="1:4" ht="14" x14ac:dyDescent="0.15">
      <c r="A855" s="322">
        <v>1764000750</v>
      </c>
      <c r="B855" s="322" t="s">
        <v>1844</v>
      </c>
      <c r="C855">
        <v>1813200930</v>
      </c>
      <c r="D855">
        <f t="shared" si="13"/>
        <v>1764000750</v>
      </c>
    </row>
    <row r="856" spans="1:4" ht="14" x14ac:dyDescent="0.15">
      <c r="A856" s="322">
        <v>1764000781</v>
      </c>
      <c r="B856" s="322" t="s">
        <v>792</v>
      </c>
      <c r="C856">
        <v>1813200980</v>
      </c>
      <c r="D856" t="e">
        <f t="shared" si="13"/>
        <v>#N/A</v>
      </c>
    </row>
    <row r="857" spans="1:4" ht="14" x14ac:dyDescent="0.15">
      <c r="A857" s="322">
        <v>1764000783</v>
      </c>
      <c r="B857" s="322" t="s">
        <v>1462</v>
      </c>
      <c r="C857">
        <v>1813200981</v>
      </c>
      <c r="D857">
        <f t="shared" si="13"/>
        <v>1764000783</v>
      </c>
    </row>
    <row r="858" spans="1:4" ht="14" x14ac:dyDescent="0.15">
      <c r="A858" s="322">
        <v>1765100810</v>
      </c>
      <c r="B858" s="322" t="s">
        <v>796</v>
      </c>
      <c r="C858">
        <v>1813201750</v>
      </c>
      <c r="D858">
        <f t="shared" si="13"/>
        <v>1765100810</v>
      </c>
    </row>
    <row r="859" spans="1:4" ht="14" x14ac:dyDescent="0.15">
      <c r="A859" s="322">
        <v>1766000810</v>
      </c>
      <c r="B859" s="322" t="s">
        <v>797</v>
      </c>
      <c r="C859">
        <v>1813201780</v>
      </c>
      <c r="D859">
        <f t="shared" si="13"/>
        <v>1766000810</v>
      </c>
    </row>
    <row r="860" spans="1:4" ht="14" x14ac:dyDescent="0.15">
      <c r="A860" s="322">
        <v>1767000440</v>
      </c>
      <c r="B860" s="322" t="s">
        <v>558</v>
      </c>
      <c r="C860">
        <v>1813201781</v>
      </c>
      <c r="D860">
        <f t="shared" si="13"/>
        <v>1767000440</v>
      </c>
    </row>
    <row r="861" spans="1:4" ht="14" x14ac:dyDescent="0.15">
      <c r="A861" s="322">
        <v>1767000810</v>
      </c>
      <c r="B861" s="322" t="s">
        <v>132</v>
      </c>
      <c r="C861">
        <v>1813201980</v>
      </c>
      <c r="D861" t="e">
        <f t="shared" si="13"/>
        <v>#N/A</v>
      </c>
    </row>
    <row r="862" spans="1:4" ht="14" x14ac:dyDescent="0.15">
      <c r="A862" s="322">
        <v>1769000780</v>
      </c>
      <c r="B862" s="322" t="s">
        <v>800</v>
      </c>
      <c r="C862">
        <v>1813204110</v>
      </c>
      <c r="D862" t="e">
        <f t="shared" si="13"/>
        <v>#N/A</v>
      </c>
    </row>
    <row r="863" spans="1:4" ht="14" x14ac:dyDescent="0.15">
      <c r="A863" s="322">
        <v>1769000781</v>
      </c>
      <c r="B863" s="322" t="s">
        <v>265</v>
      </c>
      <c r="C863">
        <v>1813204210</v>
      </c>
      <c r="D863">
        <f t="shared" si="13"/>
        <v>1769000781</v>
      </c>
    </row>
    <row r="864" spans="1:4" ht="14" x14ac:dyDescent="0.15">
      <c r="A864" s="322">
        <v>1769000785</v>
      </c>
      <c r="B864" s="322" t="s">
        <v>801</v>
      </c>
      <c r="C864">
        <v>1813205110</v>
      </c>
      <c r="D864">
        <f t="shared" si="13"/>
        <v>1769000785</v>
      </c>
    </row>
    <row r="865" spans="1:4" ht="14" x14ac:dyDescent="0.15">
      <c r="A865" s="322">
        <v>1769000810</v>
      </c>
      <c r="B865" s="322" t="s">
        <v>1552</v>
      </c>
      <c r="C865">
        <v>1813205760</v>
      </c>
      <c r="D865">
        <f t="shared" si="13"/>
        <v>1769000810</v>
      </c>
    </row>
    <row r="866" spans="1:4" ht="14" x14ac:dyDescent="0.15">
      <c r="A866" s="322">
        <v>1772000430</v>
      </c>
      <c r="B866" s="322" t="s">
        <v>1690</v>
      </c>
      <c r="C866">
        <v>1813205780</v>
      </c>
      <c r="D866">
        <f t="shared" si="13"/>
        <v>1772000430</v>
      </c>
    </row>
    <row r="867" spans="1:4" ht="14" x14ac:dyDescent="0.15">
      <c r="A867" s="322">
        <v>1772000511</v>
      </c>
      <c r="B867" s="322" t="s">
        <v>802</v>
      </c>
      <c r="C867">
        <v>1813205781</v>
      </c>
      <c r="D867">
        <f t="shared" si="13"/>
        <v>1772000511</v>
      </c>
    </row>
    <row r="868" spans="1:4" ht="14" x14ac:dyDescent="0.15">
      <c r="A868" s="322">
        <v>1772000530</v>
      </c>
      <c r="B868" s="322" t="s">
        <v>2157</v>
      </c>
      <c r="C868">
        <v>1813211110</v>
      </c>
      <c r="D868">
        <f t="shared" si="13"/>
        <v>1772000530</v>
      </c>
    </row>
    <row r="869" spans="1:4" ht="14" x14ac:dyDescent="0.15">
      <c r="A869" s="322">
        <v>1772000550</v>
      </c>
      <c r="B869" s="322" t="s">
        <v>1242</v>
      </c>
      <c r="C869">
        <v>1813211750</v>
      </c>
      <c r="D869">
        <f t="shared" si="13"/>
        <v>1772000550</v>
      </c>
    </row>
    <row r="870" spans="1:4" ht="14" x14ac:dyDescent="0.15">
      <c r="A870" s="322">
        <v>1772000561</v>
      </c>
      <c r="B870" s="322" t="s">
        <v>664</v>
      </c>
      <c r="C870">
        <v>1813213110</v>
      </c>
      <c r="D870">
        <f t="shared" si="13"/>
        <v>1772000561</v>
      </c>
    </row>
    <row r="871" spans="1:4" ht="14" x14ac:dyDescent="0.15">
      <c r="A871" s="322">
        <v>1772000581</v>
      </c>
      <c r="B871" s="322" t="s">
        <v>1936</v>
      </c>
      <c r="C871">
        <v>1813213210</v>
      </c>
      <c r="D871">
        <f t="shared" si="13"/>
        <v>1772000581</v>
      </c>
    </row>
    <row r="872" spans="1:4" ht="14" x14ac:dyDescent="0.15">
      <c r="A872" s="322">
        <v>1772000731</v>
      </c>
      <c r="B872" s="322" t="s">
        <v>1849</v>
      </c>
      <c r="C872">
        <v>1813214110</v>
      </c>
      <c r="D872">
        <f t="shared" si="13"/>
        <v>1772000731</v>
      </c>
    </row>
    <row r="873" spans="1:4" ht="14" x14ac:dyDescent="0.15">
      <c r="A873" s="322">
        <v>1772000750</v>
      </c>
      <c r="B873" s="322" t="s">
        <v>714</v>
      </c>
      <c r="C873">
        <v>1813300430</v>
      </c>
      <c r="D873">
        <f t="shared" si="13"/>
        <v>1772000750</v>
      </c>
    </row>
    <row r="874" spans="1:4" ht="14" x14ac:dyDescent="0.15">
      <c r="A874" s="322">
        <v>1772000780</v>
      </c>
      <c r="B874" s="322" t="s">
        <v>580</v>
      </c>
      <c r="C874">
        <v>1813300721</v>
      </c>
      <c r="D874">
        <f t="shared" si="13"/>
        <v>1772000780</v>
      </c>
    </row>
    <row r="875" spans="1:4" ht="14" x14ac:dyDescent="0.15">
      <c r="A875" s="322">
        <v>1772000910</v>
      </c>
      <c r="B875" s="322" t="s">
        <v>804</v>
      </c>
      <c r="C875">
        <v>1813300780</v>
      </c>
      <c r="D875">
        <f t="shared" si="13"/>
        <v>1772000910</v>
      </c>
    </row>
    <row r="876" spans="1:4" ht="14" x14ac:dyDescent="0.15">
      <c r="A876" s="322">
        <v>1781000110</v>
      </c>
      <c r="B876" s="322" t="s">
        <v>523</v>
      </c>
      <c r="C876">
        <v>1813304110</v>
      </c>
      <c r="D876">
        <f t="shared" si="13"/>
        <v>1781000110</v>
      </c>
    </row>
    <row r="877" spans="1:4" ht="14" x14ac:dyDescent="0.15">
      <c r="A877" s="322">
        <v>1781000210</v>
      </c>
      <c r="B877" s="322" t="s">
        <v>533</v>
      </c>
      <c r="C877">
        <v>1813305110</v>
      </c>
      <c r="D877">
        <f t="shared" si="13"/>
        <v>1781000210</v>
      </c>
    </row>
    <row r="878" spans="1:4" ht="14" x14ac:dyDescent="0.15">
      <c r="A878" s="322">
        <v>1781000440</v>
      </c>
      <c r="B878" s="322" t="s">
        <v>558</v>
      </c>
      <c r="C878">
        <v>1813311750</v>
      </c>
      <c r="D878" t="e">
        <f t="shared" si="13"/>
        <v>#N/A</v>
      </c>
    </row>
    <row r="879" spans="1:4" ht="14" x14ac:dyDescent="0.15">
      <c r="A879" s="324">
        <v>1781000521</v>
      </c>
      <c r="B879" s="322" t="s">
        <v>806</v>
      </c>
      <c r="C879">
        <v>1813313110</v>
      </c>
      <c r="D879" t="e">
        <f t="shared" si="13"/>
        <v>#N/A</v>
      </c>
    </row>
    <row r="880" spans="1:4" ht="14" x14ac:dyDescent="0.15">
      <c r="A880" s="322">
        <v>1781000560</v>
      </c>
      <c r="B880" s="322" t="s">
        <v>807</v>
      </c>
      <c r="C880">
        <v>1813313210</v>
      </c>
      <c r="D880">
        <f t="shared" si="13"/>
        <v>1781000560</v>
      </c>
    </row>
    <row r="881" spans="1:4" ht="14" x14ac:dyDescent="0.15">
      <c r="A881" s="322">
        <v>1781000570</v>
      </c>
      <c r="B881" s="322" t="s">
        <v>1851</v>
      </c>
      <c r="C881">
        <v>1813317780</v>
      </c>
      <c r="D881">
        <f t="shared" si="13"/>
        <v>1781000570</v>
      </c>
    </row>
    <row r="882" spans="1:4" ht="14" x14ac:dyDescent="0.15">
      <c r="A882" s="322">
        <v>1781000581</v>
      </c>
      <c r="B882" s="322" t="s">
        <v>1852</v>
      </c>
      <c r="C882">
        <v>1813700750</v>
      </c>
      <c r="D882">
        <f t="shared" si="13"/>
        <v>1781000581</v>
      </c>
    </row>
    <row r="883" spans="1:4" ht="14" x14ac:dyDescent="0.15">
      <c r="A883" s="322">
        <v>1781000750</v>
      </c>
      <c r="B883" s="322" t="s">
        <v>714</v>
      </c>
      <c r="C883">
        <v>1813700780</v>
      </c>
      <c r="D883" t="e">
        <f t="shared" si="13"/>
        <v>#N/A</v>
      </c>
    </row>
    <row r="884" spans="1:4" ht="14" x14ac:dyDescent="0.15">
      <c r="A884" s="322">
        <v>1781000752</v>
      </c>
      <c r="B884" s="322" t="s">
        <v>259</v>
      </c>
      <c r="C884">
        <v>1813705110</v>
      </c>
      <c r="D884">
        <f t="shared" si="13"/>
        <v>1781000752</v>
      </c>
    </row>
    <row r="885" spans="1:4" ht="14" x14ac:dyDescent="0.15">
      <c r="A885" s="322">
        <v>1781000753</v>
      </c>
      <c r="B885" s="322" t="s">
        <v>1640</v>
      </c>
      <c r="C885">
        <v>1815200810</v>
      </c>
      <c r="D885">
        <f t="shared" si="13"/>
        <v>1781000753</v>
      </c>
    </row>
    <row r="886" spans="1:4" ht="14" x14ac:dyDescent="0.15">
      <c r="A886" s="322">
        <v>1781000930</v>
      </c>
      <c r="B886" s="322" t="s">
        <v>961</v>
      </c>
      <c r="C886">
        <v>1815700810</v>
      </c>
      <c r="D886">
        <f t="shared" si="13"/>
        <v>1781000930</v>
      </c>
    </row>
    <row r="887" spans="1:4" ht="14" x14ac:dyDescent="0.15">
      <c r="A887" s="322">
        <v>1781002731</v>
      </c>
      <c r="B887" s="322" t="s">
        <v>262</v>
      </c>
      <c r="C887">
        <v>1815701810</v>
      </c>
      <c r="D887" t="e">
        <f t="shared" si="13"/>
        <v>#N/A</v>
      </c>
    </row>
    <row r="888" spans="1:4" ht="14" x14ac:dyDescent="0.15">
      <c r="A888" s="322">
        <v>1781003731</v>
      </c>
      <c r="B888" s="322" t="s">
        <v>811</v>
      </c>
      <c r="C888">
        <v>1815777780</v>
      </c>
      <c r="D888">
        <f t="shared" si="13"/>
        <v>1781003731</v>
      </c>
    </row>
    <row r="889" spans="1:4" ht="14" x14ac:dyDescent="0.15">
      <c r="A889" s="322">
        <v>1781004731</v>
      </c>
      <c r="B889" s="322" t="s">
        <v>123</v>
      </c>
      <c r="C889">
        <v>1815777781</v>
      </c>
      <c r="D889">
        <f t="shared" si="13"/>
        <v>1781004731</v>
      </c>
    </row>
    <row r="890" spans="1:4" ht="14" x14ac:dyDescent="0.15">
      <c r="A890" s="322">
        <v>1781005731</v>
      </c>
      <c r="B890" s="322" t="s">
        <v>124</v>
      </c>
      <c r="C890">
        <v>1815788780</v>
      </c>
      <c r="D890">
        <f t="shared" si="13"/>
        <v>1781005731</v>
      </c>
    </row>
    <row r="891" spans="1:4" ht="14" x14ac:dyDescent="0.15">
      <c r="A891" s="322">
        <v>1781006731</v>
      </c>
      <c r="B891" s="322" t="s">
        <v>79</v>
      </c>
      <c r="C891">
        <v>1815788781</v>
      </c>
      <c r="D891">
        <f t="shared" si="13"/>
        <v>1781006731</v>
      </c>
    </row>
    <row r="892" spans="1:4" ht="14" x14ac:dyDescent="0.15">
      <c r="A892" s="322">
        <v>1781007731</v>
      </c>
      <c r="B892" s="322" t="s">
        <v>1619</v>
      </c>
      <c r="C892">
        <v>1817000980</v>
      </c>
      <c r="D892">
        <f t="shared" si="13"/>
        <v>1781007731</v>
      </c>
    </row>
    <row r="893" spans="1:4" ht="14" x14ac:dyDescent="0.15">
      <c r="A893" s="322">
        <v>1781008731</v>
      </c>
      <c r="B893" s="322" t="s">
        <v>1937</v>
      </c>
      <c r="C893">
        <v>1817100110</v>
      </c>
      <c r="D893">
        <f t="shared" si="13"/>
        <v>1781008731</v>
      </c>
    </row>
    <row r="894" spans="1:4" ht="14" x14ac:dyDescent="0.15">
      <c r="A894" s="322">
        <v>1781100110</v>
      </c>
      <c r="B894" s="322" t="s">
        <v>534</v>
      </c>
      <c r="C894">
        <v>1817100750</v>
      </c>
      <c r="D894">
        <f t="shared" si="13"/>
        <v>1781100110</v>
      </c>
    </row>
    <row r="895" spans="1:4" ht="14" x14ac:dyDescent="0.15">
      <c r="A895" s="322">
        <v>1781100442</v>
      </c>
      <c r="B895" s="322" t="s">
        <v>812</v>
      </c>
      <c r="C895">
        <v>1817200110</v>
      </c>
      <c r="D895">
        <f t="shared" si="13"/>
        <v>1781100442</v>
      </c>
    </row>
    <row r="896" spans="1:4" ht="14" x14ac:dyDescent="0.15">
      <c r="A896" s="322">
        <v>1781100511</v>
      </c>
      <c r="B896" s="322" t="s">
        <v>813</v>
      </c>
      <c r="C896">
        <v>1817200540</v>
      </c>
      <c r="D896">
        <f t="shared" si="13"/>
        <v>1781100511</v>
      </c>
    </row>
    <row r="897" spans="1:4" ht="14" x14ac:dyDescent="0.15">
      <c r="A897" s="322">
        <v>1781100521</v>
      </c>
      <c r="B897" s="322" t="s">
        <v>646</v>
      </c>
      <c r="C897">
        <v>1817200780</v>
      </c>
      <c r="D897">
        <f t="shared" si="13"/>
        <v>1781100521</v>
      </c>
    </row>
    <row r="898" spans="1:4" ht="14" x14ac:dyDescent="0.15">
      <c r="A898" s="324">
        <v>1781100523</v>
      </c>
      <c r="B898" s="322" t="s">
        <v>2158</v>
      </c>
      <c r="C898">
        <v>1817300110</v>
      </c>
      <c r="D898" t="e">
        <f t="shared" si="13"/>
        <v>#N/A</v>
      </c>
    </row>
    <row r="899" spans="1:4" ht="14" x14ac:dyDescent="0.15">
      <c r="A899" s="322">
        <v>1781100570</v>
      </c>
      <c r="B899" s="322" t="s">
        <v>814</v>
      </c>
      <c r="C899">
        <v>1817300430</v>
      </c>
      <c r="D899">
        <f t="shared" si="13"/>
        <v>1781100570</v>
      </c>
    </row>
    <row r="900" spans="1:4" ht="14" x14ac:dyDescent="0.15">
      <c r="A900" s="322">
        <v>1781100743</v>
      </c>
      <c r="B900" s="322" t="s">
        <v>815</v>
      </c>
      <c r="C900">
        <v>1817300470</v>
      </c>
      <c r="D900">
        <f t="shared" ref="D900:D963" si="14">VLOOKUP(A900,$C$3:$C$1296,1,FALSE)</f>
        <v>1781100743</v>
      </c>
    </row>
    <row r="901" spans="1:4" ht="14" x14ac:dyDescent="0.15">
      <c r="A901" s="322">
        <v>1781100750</v>
      </c>
      <c r="B901" s="322" t="s">
        <v>816</v>
      </c>
      <c r="C901">
        <v>1817300511</v>
      </c>
      <c r="D901">
        <f t="shared" si="14"/>
        <v>1781100750</v>
      </c>
    </row>
    <row r="902" spans="1:4" ht="14" x14ac:dyDescent="0.15">
      <c r="A902" s="322">
        <v>1781100751</v>
      </c>
      <c r="B902" s="322" t="s">
        <v>1496</v>
      </c>
      <c r="C902">
        <v>1817300521</v>
      </c>
      <c r="D902">
        <f t="shared" si="14"/>
        <v>1781100751</v>
      </c>
    </row>
    <row r="903" spans="1:4" ht="14" x14ac:dyDescent="0.15">
      <c r="A903" s="322">
        <v>1781100780</v>
      </c>
      <c r="B903" s="322" t="s">
        <v>580</v>
      </c>
      <c r="C903">
        <v>1817300540</v>
      </c>
      <c r="D903">
        <f t="shared" si="14"/>
        <v>1781100780</v>
      </c>
    </row>
    <row r="904" spans="1:4" ht="14" x14ac:dyDescent="0.15">
      <c r="A904" s="322">
        <v>1781100781</v>
      </c>
      <c r="B904" s="322" t="s">
        <v>1940</v>
      </c>
      <c r="C904">
        <v>1817300581</v>
      </c>
      <c r="D904">
        <f t="shared" si="14"/>
        <v>1781100781</v>
      </c>
    </row>
    <row r="905" spans="1:4" ht="14" x14ac:dyDescent="0.15">
      <c r="A905" s="322">
        <v>1781100930</v>
      </c>
      <c r="B905" s="322" t="s">
        <v>739</v>
      </c>
      <c r="C905">
        <v>1817300720</v>
      </c>
      <c r="D905">
        <f t="shared" si="14"/>
        <v>1781100930</v>
      </c>
    </row>
    <row r="906" spans="1:4" ht="14" x14ac:dyDescent="0.15">
      <c r="A906" s="322">
        <v>1781200110</v>
      </c>
      <c r="B906" s="322" t="s">
        <v>1634</v>
      </c>
      <c r="C906">
        <v>1817300750</v>
      </c>
      <c r="D906">
        <f t="shared" si="14"/>
        <v>1781200110</v>
      </c>
    </row>
    <row r="907" spans="1:4" ht="14" x14ac:dyDescent="0.15">
      <c r="A907" s="322">
        <v>1781200210</v>
      </c>
      <c r="B907" s="322" t="s">
        <v>1857</v>
      </c>
      <c r="C907">
        <v>1817300780</v>
      </c>
      <c r="D907">
        <f t="shared" si="14"/>
        <v>1781200210</v>
      </c>
    </row>
    <row r="908" spans="1:4" ht="14" x14ac:dyDescent="0.15">
      <c r="A908" s="322">
        <v>1781200521</v>
      </c>
      <c r="B908" s="322" t="s">
        <v>1637</v>
      </c>
      <c r="C908">
        <v>1817300930</v>
      </c>
      <c r="D908">
        <f t="shared" si="14"/>
        <v>1781200521</v>
      </c>
    </row>
    <row r="909" spans="1:4" ht="14" x14ac:dyDescent="0.15">
      <c r="A909" s="322">
        <v>1781200743</v>
      </c>
      <c r="B909" s="322" t="s">
        <v>1638</v>
      </c>
      <c r="C909">
        <v>1817304110</v>
      </c>
      <c r="D909">
        <f t="shared" si="14"/>
        <v>1781200743</v>
      </c>
    </row>
    <row r="910" spans="1:4" ht="14" x14ac:dyDescent="0.15">
      <c r="A910" s="322">
        <v>1781200744</v>
      </c>
      <c r="B910" s="322" t="s">
        <v>1858</v>
      </c>
      <c r="C910">
        <v>1817500760</v>
      </c>
      <c r="D910">
        <f t="shared" si="14"/>
        <v>1781200744</v>
      </c>
    </row>
    <row r="911" spans="1:4" ht="14" x14ac:dyDescent="0.15">
      <c r="A911" s="322">
        <v>1781365731</v>
      </c>
      <c r="B911" s="322" t="s">
        <v>1495</v>
      </c>
      <c r="C911">
        <v>1817600110</v>
      </c>
      <c r="D911" t="e">
        <f t="shared" si="14"/>
        <v>#N/A</v>
      </c>
    </row>
    <row r="912" spans="1:4" ht="14" x14ac:dyDescent="0.15">
      <c r="A912" s="322">
        <v>1781375731</v>
      </c>
      <c r="B912" s="322" t="s">
        <v>1859</v>
      </c>
      <c r="C912">
        <v>1817600980</v>
      </c>
      <c r="D912">
        <f t="shared" si="14"/>
        <v>1781375731</v>
      </c>
    </row>
    <row r="913" spans="1:4" ht="14" x14ac:dyDescent="0.15">
      <c r="A913" s="322">
        <v>1781385731</v>
      </c>
      <c r="B913" s="322" t="s">
        <v>1860</v>
      </c>
      <c r="C913">
        <v>1817622210</v>
      </c>
      <c r="D913">
        <f t="shared" si="14"/>
        <v>1781385731</v>
      </c>
    </row>
    <row r="914" spans="1:4" ht="14" x14ac:dyDescent="0.15">
      <c r="A914" s="322">
        <v>1810000981</v>
      </c>
      <c r="B914" s="322" t="s">
        <v>74</v>
      </c>
      <c r="C914">
        <v>1817700110</v>
      </c>
      <c r="D914" t="e">
        <f t="shared" si="14"/>
        <v>#N/A</v>
      </c>
    </row>
    <row r="915" spans="1:4" ht="14" x14ac:dyDescent="0.15">
      <c r="A915" s="322">
        <v>1811000110</v>
      </c>
      <c r="B915" s="322" t="s">
        <v>523</v>
      </c>
      <c r="C915">
        <v>1817700780</v>
      </c>
      <c r="D915">
        <f t="shared" si="14"/>
        <v>1811000110</v>
      </c>
    </row>
    <row r="916" spans="1:4" ht="14" x14ac:dyDescent="0.15">
      <c r="A916" s="322">
        <v>1811000422</v>
      </c>
      <c r="B916" s="322" t="s">
        <v>818</v>
      </c>
      <c r="C916">
        <v>1817701110</v>
      </c>
      <c r="D916">
        <f t="shared" si="14"/>
        <v>1811000422</v>
      </c>
    </row>
    <row r="917" spans="1:4" ht="14" x14ac:dyDescent="0.15">
      <c r="A917" s="322">
        <v>1811000440</v>
      </c>
      <c r="B917" s="322" t="s">
        <v>558</v>
      </c>
      <c r="C917">
        <v>1817710110</v>
      </c>
      <c r="D917">
        <f t="shared" si="14"/>
        <v>1811000440</v>
      </c>
    </row>
    <row r="918" spans="1:4" ht="14" x14ac:dyDescent="0.15">
      <c r="A918" s="322">
        <v>1811000470</v>
      </c>
      <c r="B918" s="322" t="s">
        <v>820</v>
      </c>
      <c r="C918">
        <v>1817710721</v>
      </c>
      <c r="D918">
        <f t="shared" si="14"/>
        <v>1811000470</v>
      </c>
    </row>
    <row r="919" spans="1:4" ht="14" x14ac:dyDescent="0.15">
      <c r="A919" s="322">
        <v>1811000511</v>
      </c>
      <c r="B919" s="322" t="s">
        <v>697</v>
      </c>
      <c r="C919">
        <v>1817727110</v>
      </c>
      <c r="D919">
        <f t="shared" si="14"/>
        <v>1811000511</v>
      </c>
    </row>
    <row r="920" spans="1:4" ht="14" x14ac:dyDescent="0.15">
      <c r="A920" s="322">
        <v>1811000512</v>
      </c>
      <c r="B920" s="322" t="s">
        <v>821</v>
      </c>
      <c r="C920">
        <v>1817728110</v>
      </c>
      <c r="D920" t="e">
        <f t="shared" si="14"/>
        <v>#N/A</v>
      </c>
    </row>
    <row r="921" spans="1:4" ht="14" x14ac:dyDescent="0.15">
      <c r="A921" s="322">
        <v>1811000530</v>
      </c>
      <c r="B921" s="322" t="s">
        <v>2159</v>
      </c>
      <c r="C921">
        <v>1817800110</v>
      </c>
      <c r="D921">
        <f t="shared" si="14"/>
        <v>1811000530</v>
      </c>
    </row>
    <row r="922" spans="1:4" ht="14" x14ac:dyDescent="0.15">
      <c r="A922" s="322">
        <v>1811000550</v>
      </c>
      <c r="B922" s="322" t="s">
        <v>822</v>
      </c>
      <c r="C922">
        <v>1817800210</v>
      </c>
      <c r="D922">
        <f t="shared" si="14"/>
        <v>1811000550</v>
      </c>
    </row>
    <row r="923" spans="1:4" ht="14" x14ac:dyDescent="0.15">
      <c r="A923" s="322">
        <v>1811000560</v>
      </c>
      <c r="B923" s="322" t="s">
        <v>823</v>
      </c>
      <c r="C923">
        <v>1817800510</v>
      </c>
      <c r="D923">
        <f t="shared" si="14"/>
        <v>1811000560</v>
      </c>
    </row>
    <row r="924" spans="1:4" ht="14" x14ac:dyDescent="0.15">
      <c r="A924" s="322">
        <v>1811000570</v>
      </c>
      <c r="B924" s="322" t="s">
        <v>824</v>
      </c>
      <c r="C924">
        <v>1817900110</v>
      </c>
      <c r="D924">
        <f t="shared" si="14"/>
        <v>1811000570</v>
      </c>
    </row>
    <row r="925" spans="1:4" ht="14" x14ac:dyDescent="0.15">
      <c r="A925" s="322">
        <v>1811000571</v>
      </c>
      <c r="B925" s="322" t="s">
        <v>590</v>
      </c>
      <c r="C925">
        <v>1817900430</v>
      </c>
      <c r="D925">
        <f t="shared" si="14"/>
        <v>1811000571</v>
      </c>
    </row>
    <row r="926" spans="1:4" ht="14" x14ac:dyDescent="0.15">
      <c r="A926" s="322">
        <v>1811000580</v>
      </c>
      <c r="B926" s="322" t="s">
        <v>825</v>
      </c>
      <c r="C926">
        <v>1817900540</v>
      </c>
      <c r="D926">
        <f t="shared" si="14"/>
        <v>1811000580</v>
      </c>
    </row>
    <row r="927" spans="1:4" ht="14" x14ac:dyDescent="0.15">
      <c r="A927" s="322">
        <v>1811000581</v>
      </c>
      <c r="B927" s="322" t="s">
        <v>1862</v>
      </c>
      <c r="C927">
        <v>1817900780</v>
      </c>
      <c r="D927">
        <f t="shared" si="14"/>
        <v>1811000581</v>
      </c>
    </row>
    <row r="928" spans="1:4" ht="14" x14ac:dyDescent="0.15">
      <c r="A928" s="322">
        <v>1811000720</v>
      </c>
      <c r="B928" s="322" t="s">
        <v>826</v>
      </c>
      <c r="C928">
        <v>1817900910</v>
      </c>
      <c r="D928" t="e">
        <f t="shared" si="14"/>
        <v>#N/A</v>
      </c>
    </row>
    <row r="929" spans="1:4" ht="14" x14ac:dyDescent="0.15">
      <c r="A929" s="322">
        <v>1811000780</v>
      </c>
      <c r="B929" s="322" t="s">
        <v>580</v>
      </c>
      <c r="C929">
        <v>1817904110</v>
      </c>
      <c r="D929">
        <f t="shared" si="14"/>
        <v>1811000780</v>
      </c>
    </row>
    <row r="930" spans="1:4" ht="14" x14ac:dyDescent="0.15">
      <c r="A930" s="322">
        <v>1811000910</v>
      </c>
      <c r="B930" s="322" t="s">
        <v>827</v>
      </c>
      <c r="C930">
        <v>1817922780</v>
      </c>
      <c r="D930">
        <f t="shared" si="14"/>
        <v>1811000910</v>
      </c>
    </row>
    <row r="931" spans="1:4" ht="14" x14ac:dyDescent="0.15">
      <c r="A931" s="322">
        <v>1811000930</v>
      </c>
      <c r="B931" s="322" t="s">
        <v>1864</v>
      </c>
      <c r="C931">
        <v>1817950210</v>
      </c>
      <c r="D931">
        <f t="shared" si="14"/>
        <v>1811000930</v>
      </c>
    </row>
    <row r="932" spans="1:4" ht="14" x14ac:dyDescent="0.15">
      <c r="A932" s="322">
        <v>1811001530</v>
      </c>
      <c r="B932" s="322" t="s">
        <v>2160</v>
      </c>
      <c r="C932">
        <v>1817950430</v>
      </c>
      <c r="D932">
        <f t="shared" si="14"/>
        <v>1811001530</v>
      </c>
    </row>
    <row r="933" spans="1:4" ht="14" x14ac:dyDescent="0.15">
      <c r="A933" s="322">
        <v>1811001731</v>
      </c>
      <c r="B933" s="322" t="s">
        <v>260</v>
      </c>
      <c r="C933">
        <v>1817950540</v>
      </c>
      <c r="D933" t="e">
        <f t="shared" si="14"/>
        <v>#N/A</v>
      </c>
    </row>
    <row r="934" spans="1:4" ht="14" x14ac:dyDescent="0.15">
      <c r="A934" s="322">
        <v>1811002731</v>
      </c>
      <c r="B934" s="322" t="s">
        <v>1865</v>
      </c>
      <c r="C934">
        <v>1817950750</v>
      </c>
      <c r="D934">
        <f t="shared" si="14"/>
        <v>1811002731</v>
      </c>
    </row>
    <row r="935" spans="1:4" ht="14" x14ac:dyDescent="0.15">
      <c r="A935" s="322">
        <v>1812200110</v>
      </c>
      <c r="B935" s="322" t="s">
        <v>126</v>
      </c>
      <c r="C935">
        <v>1817950780</v>
      </c>
      <c r="D935">
        <f t="shared" si="14"/>
        <v>1812200110</v>
      </c>
    </row>
    <row r="936" spans="1:4" ht="14" x14ac:dyDescent="0.15">
      <c r="A936" s="322">
        <v>1812200210</v>
      </c>
      <c r="B936" s="322" t="s">
        <v>920</v>
      </c>
      <c r="C936">
        <v>1817950980</v>
      </c>
      <c r="D936">
        <f t="shared" si="14"/>
        <v>1812200210</v>
      </c>
    </row>
    <row r="937" spans="1:4" ht="14" x14ac:dyDescent="0.15">
      <c r="A937" s="322">
        <v>1812200430</v>
      </c>
      <c r="B937" s="322" t="s">
        <v>956</v>
      </c>
      <c r="C937">
        <v>1817951110</v>
      </c>
      <c r="D937">
        <f t="shared" si="14"/>
        <v>1812200430</v>
      </c>
    </row>
    <row r="938" spans="1:4" ht="14" x14ac:dyDescent="0.15">
      <c r="A938" s="322">
        <v>1812200540</v>
      </c>
      <c r="B938" s="322" t="s">
        <v>957</v>
      </c>
      <c r="C938">
        <v>1817960110</v>
      </c>
      <c r="D938">
        <f t="shared" si="14"/>
        <v>1812200540</v>
      </c>
    </row>
    <row r="939" spans="1:4" ht="14" x14ac:dyDescent="0.15">
      <c r="A939" s="322">
        <v>1812200550</v>
      </c>
      <c r="B939" s="322" t="s">
        <v>822</v>
      </c>
      <c r="C939">
        <v>1817960430</v>
      </c>
      <c r="D939">
        <f t="shared" si="14"/>
        <v>1812200550</v>
      </c>
    </row>
    <row r="940" spans="1:4" ht="14" x14ac:dyDescent="0.15">
      <c r="A940" s="322">
        <v>1812200720</v>
      </c>
      <c r="B940" s="322" t="s">
        <v>958</v>
      </c>
      <c r="C940">
        <v>1817960540</v>
      </c>
      <c r="D940">
        <f t="shared" si="14"/>
        <v>1812200720</v>
      </c>
    </row>
    <row r="941" spans="1:4" ht="14" x14ac:dyDescent="0.15">
      <c r="A941" s="322">
        <v>1812200721</v>
      </c>
      <c r="B941" s="322" t="s">
        <v>959</v>
      </c>
      <c r="C941">
        <v>1817960780</v>
      </c>
      <c r="D941">
        <f t="shared" si="14"/>
        <v>1812200721</v>
      </c>
    </row>
    <row r="942" spans="1:4" ht="14" x14ac:dyDescent="0.15">
      <c r="A942" s="322">
        <v>1812200750</v>
      </c>
      <c r="B942" s="322" t="s">
        <v>956</v>
      </c>
      <c r="C942">
        <v>1817960781</v>
      </c>
      <c r="D942">
        <f t="shared" si="14"/>
        <v>1812200750</v>
      </c>
    </row>
    <row r="943" spans="1:4" ht="14" x14ac:dyDescent="0.15">
      <c r="A943" s="322">
        <v>1812200780</v>
      </c>
      <c r="B943" s="322" t="s">
        <v>580</v>
      </c>
      <c r="C943">
        <v>1817961110</v>
      </c>
      <c r="D943">
        <f t="shared" si="14"/>
        <v>1812200780</v>
      </c>
    </row>
    <row r="944" spans="1:4" ht="14" x14ac:dyDescent="0.15">
      <c r="A944" s="322">
        <v>1812200811</v>
      </c>
      <c r="B944" s="322" t="s">
        <v>960</v>
      </c>
      <c r="C944">
        <v>1819951210</v>
      </c>
      <c r="D944">
        <f t="shared" si="14"/>
        <v>1812200811</v>
      </c>
    </row>
    <row r="945" spans="1:4" ht="14" x14ac:dyDescent="0.15">
      <c r="A945" s="322">
        <v>1812200930</v>
      </c>
      <c r="B945" s="322" t="s">
        <v>961</v>
      </c>
      <c r="C945">
        <v>1819999110</v>
      </c>
      <c r="D945">
        <f t="shared" si="14"/>
        <v>1812200930</v>
      </c>
    </row>
    <row r="946" spans="1:4" ht="14" x14ac:dyDescent="0.15">
      <c r="A946" s="322">
        <v>1812201560</v>
      </c>
      <c r="B946" s="322" t="s">
        <v>664</v>
      </c>
      <c r="C946">
        <v>1819999210</v>
      </c>
      <c r="D946">
        <f t="shared" si="14"/>
        <v>1812201560</v>
      </c>
    </row>
    <row r="947" spans="1:4" ht="14" x14ac:dyDescent="0.15">
      <c r="A947" s="322">
        <v>1812201780</v>
      </c>
      <c r="B947" s="322" t="s">
        <v>962</v>
      </c>
      <c r="C947">
        <v>1819999780</v>
      </c>
      <c r="D947">
        <f t="shared" si="14"/>
        <v>1812201780</v>
      </c>
    </row>
    <row r="948" spans="1:4" ht="14" x14ac:dyDescent="0.15">
      <c r="A948" s="322">
        <v>1812210110</v>
      </c>
      <c r="B948" s="322" t="s">
        <v>921</v>
      </c>
      <c r="D948">
        <f t="shared" si="14"/>
        <v>1812210110</v>
      </c>
    </row>
    <row r="949" spans="1:4" ht="14" x14ac:dyDescent="0.15">
      <c r="A949" s="322">
        <v>1812210210</v>
      </c>
      <c r="B949" s="322" t="s">
        <v>922</v>
      </c>
      <c r="C949" s="182"/>
      <c r="D949">
        <f t="shared" si="14"/>
        <v>1812210210</v>
      </c>
    </row>
    <row r="950" spans="1:4" ht="14" x14ac:dyDescent="0.15">
      <c r="A950" s="322">
        <v>1812210760</v>
      </c>
      <c r="B950" s="322" t="s">
        <v>963</v>
      </c>
      <c r="C950">
        <v>1822000750</v>
      </c>
      <c r="D950">
        <f t="shared" si="14"/>
        <v>1812210760</v>
      </c>
    </row>
    <row r="951" spans="1:4" ht="14" x14ac:dyDescent="0.15">
      <c r="A951" s="322">
        <v>1812220760</v>
      </c>
      <c r="B951" s="322" t="s">
        <v>363</v>
      </c>
      <c r="C951">
        <v>1822000780</v>
      </c>
      <c r="D951">
        <f t="shared" si="14"/>
        <v>1812220760</v>
      </c>
    </row>
    <row r="952" spans="1:4" ht="14" x14ac:dyDescent="0.15">
      <c r="A952" s="322">
        <v>1812500780</v>
      </c>
      <c r="B952" s="322" t="s">
        <v>964</v>
      </c>
      <c r="C952">
        <v>1822000781</v>
      </c>
      <c r="D952">
        <f t="shared" si="14"/>
        <v>1812500780</v>
      </c>
    </row>
    <row r="953" spans="1:4" ht="14" x14ac:dyDescent="0.15">
      <c r="A953" s="322">
        <v>1812501780</v>
      </c>
      <c r="B953" s="322" t="s">
        <v>965</v>
      </c>
      <c r="C953">
        <v>1822000782</v>
      </c>
      <c r="D953">
        <f t="shared" si="14"/>
        <v>1812501780</v>
      </c>
    </row>
    <row r="954" spans="1:4" ht="14" x14ac:dyDescent="0.15">
      <c r="A954" s="322">
        <v>1812800210</v>
      </c>
      <c r="B954" s="322" t="s">
        <v>1157</v>
      </c>
      <c r="C954">
        <v>1822000783</v>
      </c>
      <c r="D954" t="e">
        <f t="shared" si="14"/>
        <v>#N/A</v>
      </c>
    </row>
    <row r="955" spans="1:4" ht="14" x14ac:dyDescent="0.15">
      <c r="A955" s="322">
        <v>1813200430</v>
      </c>
      <c r="B955" s="322" t="s">
        <v>839</v>
      </c>
      <c r="C955">
        <v>1822000784</v>
      </c>
      <c r="D955">
        <f t="shared" si="14"/>
        <v>1813200430</v>
      </c>
    </row>
    <row r="956" spans="1:4" ht="14" x14ac:dyDescent="0.15">
      <c r="A956" s="322">
        <v>1813200470</v>
      </c>
      <c r="B956" s="322" t="s">
        <v>966</v>
      </c>
      <c r="C956">
        <v>1822000785</v>
      </c>
      <c r="D956">
        <f t="shared" si="14"/>
        <v>1813200470</v>
      </c>
    </row>
    <row r="957" spans="1:4" ht="14" x14ac:dyDescent="0.15">
      <c r="A957" s="322">
        <v>1813200540</v>
      </c>
      <c r="B957" s="322" t="s">
        <v>967</v>
      </c>
      <c r="C957">
        <v>1822000786</v>
      </c>
      <c r="D957">
        <f t="shared" si="14"/>
        <v>1813200540</v>
      </c>
    </row>
    <row r="958" spans="1:4" ht="14" x14ac:dyDescent="0.15">
      <c r="A958" s="322">
        <v>1813200720</v>
      </c>
      <c r="B958" s="322" t="s">
        <v>689</v>
      </c>
      <c r="C958">
        <v>1822000788</v>
      </c>
      <c r="D958">
        <f t="shared" si="14"/>
        <v>1813200720</v>
      </c>
    </row>
    <row r="959" spans="1:4" ht="14" x14ac:dyDescent="0.15">
      <c r="A959" s="322">
        <v>1813200721</v>
      </c>
      <c r="B959" s="322" t="s">
        <v>968</v>
      </c>
      <c r="C959">
        <v>1822300780</v>
      </c>
      <c r="D959">
        <f t="shared" si="14"/>
        <v>1813200721</v>
      </c>
    </row>
    <row r="960" spans="1:4" ht="14" x14ac:dyDescent="0.15">
      <c r="A960" s="322">
        <v>1813200723</v>
      </c>
      <c r="B960" s="322" t="s">
        <v>2048</v>
      </c>
      <c r="C960">
        <v>1822300781</v>
      </c>
      <c r="D960">
        <f t="shared" si="14"/>
        <v>1813200723</v>
      </c>
    </row>
    <row r="961" spans="1:4" ht="14" x14ac:dyDescent="0.15">
      <c r="A961" s="322">
        <v>1813200750</v>
      </c>
      <c r="B961" s="322" t="s">
        <v>714</v>
      </c>
      <c r="C961">
        <v>1822300782</v>
      </c>
      <c r="D961">
        <f t="shared" si="14"/>
        <v>1813200750</v>
      </c>
    </row>
    <row r="962" spans="1:4" ht="14" x14ac:dyDescent="0.15">
      <c r="A962" s="322">
        <v>1813200780</v>
      </c>
      <c r="B962" s="322" t="s">
        <v>580</v>
      </c>
      <c r="C962">
        <v>1822800780</v>
      </c>
      <c r="D962">
        <f t="shared" si="14"/>
        <v>1813200780</v>
      </c>
    </row>
    <row r="963" spans="1:4" ht="14" x14ac:dyDescent="0.15">
      <c r="A963" s="322">
        <v>1813200910</v>
      </c>
      <c r="B963" s="322" t="s">
        <v>738</v>
      </c>
      <c r="C963">
        <v>1823000110</v>
      </c>
      <c r="D963">
        <f t="shared" si="14"/>
        <v>1813200910</v>
      </c>
    </row>
    <row r="964" spans="1:4" ht="14" x14ac:dyDescent="0.15">
      <c r="A964" s="322">
        <v>1813200930</v>
      </c>
      <c r="B964" s="322" t="s">
        <v>961</v>
      </c>
      <c r="C964">
        <v>1823000210</v>
      </c>
      <c r="D964">
        <f t="shared" ref="D964:D1027" si="15">VLOOKUP(A964,$C$3:$C$1296,1,FALSE)</f>
        <v>1813200930</v>
      </c>
    </row>
    <row r="965" spans="1:4" ht="14" x14ac:dyDescent="0.15">
      <c r="A965" s="322">
        <v>1813200980</v>
      </c>
      <c r="B965" s="322" t="s">
        <v>969</v>
      </c>
      <c r="C965">
        <v>1823000430</v>
      </c>
      <c r="D965">
        <f t="shared" si="15"/>
        <v>1813200980</v>
      </c>
    </row>
    <row r="966" spans="1:4" ht="14" x14ac:dyDescent="0.15">
      <c r="A966" s="322">
        <v>1813200981</v>
      </c>
      <c r="B966" s="322" t="s">
        <v>1494</v>
      </c>
      <c r="C966">
        <v>1823000520</v>
      </c>
      <c r="D966">
        <f t="shared" si="15"/>
        <v>1813200981</v>
      </c>
    </row>
    <row r="967" spans="1:4" ht="14" x14ac:dyDescent="0.15">
      <c r="A967" s="322">
        <v>1813201750</v>
      </c>
      <c r="B967" s="322" t="s">
        <v>970</v>
      </c>
      <c r="C967">
        <v>1823000540</v>
      </c>
      <c r="D967">
        <f t="shared" si="15"/>
        <v>1813201750</v>
      </c>
    </row>
    <row r="968" spans="1:4" ht="14" x14ac:dyDescent="0.15">
      <c r="A968" s="322">
        <v>1813201780</v>
      </c>
      <c r="B968" s="322" t="s">
        <v>1493</v>
      </c>
      <c r="C968">
        <v>1823000560</v>
      </c>
      <c r="D968">
        <f t="shared" si="15"/>
        <v>1813201780</v>
      </c>
    </row>
    <row r="969" spans="1:4" ht="14" x14ac:dyDescent="0.15">
      <c r="A969" s="322">
        <v>1813201781</v>
      </c>
      <c r="B969" s="322" t="s">
        <v>1492</v>
      </c>
      <c r="C969">
        <v>1823000570</v>
      </c>
      <c r="D969">
        <f t="shared" si="15"/>
        <v>1813201781</v>
      </c>
    </row>
    <row r="970" spans="1:4" ht="14" x14ac:dyDescent="0.15">
      <c r="A970" s="322">
        <v>1813201980</v>
      </c>
      <c r="B970" s="322" t="s">
        <v>127</v>
      </c>
      <c r="C970">
        <v>1823000581</v>
      </c>
      <c r="D970">
        <f t="shared" si="15"/>
        <v>1813201980</v>
      </c>
    </row>
    <row r="971" spans="1:4" ht="14" x14ac:dyDescent="0.15">
      <c r="A971" s="322">
        <v>1813204110</v>
      </c>
      <c r="B971" s="322" t="s">
        <v>923</v>
      </c>
      <c r="C971">
        <v>1823000731</v>
      </c>
      <c r="D971">
        <f t="shared" si="15"/>
        <v>1813204110</v>
      </c>
    </row>
    <row r="972" spans="1:4" ht="14" x14ac:dyDescent="0.15">
      <c r="A972" s="322">
        <v>1813204210</v>
      </c>
      <c r="B972" s="322" t="s">
        <v>919</v>
      </c>
      <c r="C972">
        <v>1823000740</v>
      </c>
      <c r="D972">
        <f t="shared" si="15"/>
        <v>1813204210</v>
      </c>
    </row>
    <row r="973" spans="1:4" ht="14" x14ac:dyDescent="0.15">
      <c r="A973" s="322">
        <v>1813205110</v>
      </c>
      <c r="B973" s="322" t="s">
        <v>924</v>
      </c>
      <c r="C973">
        <v>1823000750</v>
      </c>
      <c r="D973">
        <f t="shared" si="15"/>
        <v>1813205110</v>
      </c>
    </row>
    <row r="974" spans="1:4" ht="14" x14ac:dyDescent="0.15">
      <c r="A974" s="322">
        <v>1813205210</v>
      </c>
      <c r="B974" s="322" t="s">
        <v>925</v>
      </c>
      <c r="C974">
        <v>1823000780</v>
      </c>
      <c r="D974" t="e">
        <f t="shared" si="15"/>
        <v>#N/A</v>
      </c>
    </row>
    <row r="975" spans="1:4" ht="14" x14ac:dyDescent="0.15">
      <c r="A975" s="322">
        <v>1813205760</v>
      </c>
      <c r="B975" s="322" t="s">
        <v>971</v>
      </c>
      <c r="C975">
        <v>1823000930</v>
      </c>
      <c r="D975">
        <f t="shared" si="15"/>
        <v>1813205760</v>
      </c>
    </row>
    <row r="976" spans="1:4" ht="14" x14ac:dyDescent="0.15">
      <c r="A976" s="322">
        <v>1813205780</v>
      </c>
      <c r="B976" s="322" t="s">
        <v>972</v>
      </c>
      <c r="C976">
        <v>1824000810</v>
      </c>
      <c r="D976">
        <f t="shared" si="15"/>
        <v>1813205780</v>
      </c>
    </row>
    <row r="977" spans="1:4" ht="14" x14ac:dyDescent="0.15">
      <c r="A977" s="322">
        <v>1813205781</v>
      </c>
      <c r="B977" s="322" t="s">
        <v>1582</v>
      </c>
      <c r="C977">
        <v>1824000811</v>
      </c>
      <c r="D977">
        <f t="shared" si="15"/>
        <v>1813205781</v>
      </c>
    </row>
    <row r="978" spans="1:4" ht="14" x14ac:dyDescent="0.15">
      <c r="A978" s="322">
        <v>1813211110</v>
      </c>
      <c r="B978" s="322" t="s">
        <v>926</v>
      </c>
      <c r="C978">
        <v>1824000812</v>
      </c>
      <c r="D978">
        <f t="shared" si="15"/>
        <v>1813211110</v>
      </c>
    </row>
    <row r="979" spans="1:4" ht="14" x14ac:dyDescent="0.15">
      <c r="A979" s="322">
        <v>1813211750</v>
      </c>
      <c r="B979" s="322" t="s">
        <v>974</v>
      </c>
      <c r="C979">
        <v>1824000813</v>
      </c>
      <c r="D979">
        <f t="shared" si="15"/>
        <v>1813211750</v>
      </c>
    </row>
    <row r="980" spans="1:4" ht="14" x14ac:dyDescent="0.15">
      <c r="A980" s="322">
        <v>1813213110</v>
      </c>
      <c r="B980" s="322" t="s">
        <v>927</v>
      </c>
      <c r="C980">
        <v>1824000814</v>
      </c>
      <c r="D980">
        <f t="shared" si="15"/>
        <v>1813213110</v>
      </c>
    </row>
    <row r="981" spans="1:4" ht="14" x14ac:dyDescent="0.15">
      <c r="A981" s="322">
        <v>1813213210</v>
      </c>
      <c r="B981" s="322" t="s">
        <v>928</v>
      </c>
      <c r="C981">
        <v>1824000816</v>
      </c>
      <c r="D981">
        <f t="shared" si="15"/>
        <v>1813213210</v>
      </c>
    </row>
    <row r="982" spans="1:4" ht="14" x14ac:dyDescent="0.15">
      <c r="A982" s="322">
        <v>1813214110</v>
      </c>
      <c r="B982" s="322" t="s">
        <v>162</v>
      </c>
      <c r="C982">
        <v>1824000817</v>
      </c>
      <c r="D982">
        <f t="shared" si="15"/>
        <v>1813214110</v>
      </c>
    </row>
    <row r="983" spans="1:4" ht="14" x14ac:dyDescent="0.15">
      <c r="A983" s="322">
        <v>1813300430</v>
      </c>
      <c r="B983" s="322" t="s">
        <v>975</v>
      </c>
      <c r="C983">
        <v>1824000818</v>
      </c>
      <c r="D983">
        <f t="shared" si="15"/>
        <v>1813300430</v>
      </c>
    </row>
    <row r="984" spans="1:4" ht="14" x14ac:dyDescent="0.15">
      <c r="A984" s="322">
        <v>1813300721</v>
      </c>
      <c r="B984" s="322" t="s">
        <v>976</v>
      </c>
      <c r="C984">
        <v>1825000530</v>
      </c>
      <c r="D984">
        <f t="shared" si="15"/>
        <v>1813300721</v>
      </c>
    </row>
    <row r="985" spans="1:4" ht="14" x14ac:dyDescent="0.15">
      <c r="A985" s="322">
        <v>1813300780</v>
      </c>
      <c r="B985" s="322" t="s">
        <v>977</v>
      </c>
      <c r="C985">
        <v>1825200110</v>
      </c>
      <c r="D985">
        <f t="shared" si="15"/>
        <v>1813300780</v>
      </c>
    </row>
    <row r="986" spans="1:4" ht="14" x14ac:dyDescent="0.15">
      <c r="A986" s="322">
        <v>1813304110</v>
      </c>
      <c r="B986" s="322" t="s">
        <v>919</v>
      </c>
      <c r="C986">
        <v>1825200210</v>
      </c>
      <c r="D986">
        <f t="shared" si="15"/>
        <v>1813304110</v>
      </c>
    </row>
    <row r="987" spans="1:4" ht="14" x14ac:dyDescent="0.15">
      <c r="A987" s="322">
        <v>1813305110</v>
      </c>
      <c r="B987" s="322" t="s">
        <v>929</v>
      </c>
      <c r="C987">
        <v>1825200420</v>
      </c>
      <c r="D987">
        <f t="shared" si="15"/>
        <v>1813305110</v>
      </c>
    </row>
    <row r="988" spans="1:4" ht="14" x14ac:dyDescent="0.15">
      <c r="A988" s="322">
        <v>1813311750</v>
      </c>
      <c r="B988" s="322" t="s">
        <v>978</v>
      </c>
      <c r="C988">
        <v>1825200430</v>
      </c>
      <c r="D988">
        <f t="shared" si="15"/>
        <v>1813311750</v>
      </c>
    </row>
    <row r="989" spans="1:4" ht="14" x14ac:dyDescent="0.15">
      <c r="A989" s="322">
        <v>1813313110</v>
      </c>
      <c r="B989" s="322" t="s">
        <v>930</v>
      </c>
      <c r="C989">
        <v>1825200433</v>
      </c>
      <c r="D989">
        <f t="shared" si="15"/>
        <v>1813313110</v>
      </c>
    </row>
    <row r="990" spans="1:4" ht="14" x14ac:dyDescent="0.15">
      <c r="A990" s="322">
        <v>1813313210</v>
      </c>
      <c r="B990" s="322" t="s">
        <v>931</v>
      </c>
      <c r="C990">
        <v>1825200450</v>
      </c>
      <c r="D990">
        <f t="shared" si="15"/>
        <v>1813313210</v>
      </c>
    </row>
    <row r="991" spans="1:4" ht="14" x14ac:dyDescent="0.15">
      <c r="A991" s="322">
        <v>1813317780</v>
      </c>
      <c r="B991" s="322" t="s">
        <v>289</v>
      </c>
      <c r="C991">
        <v>1825200470</v>
      </c>
      <c r="D991">
        <f t="shared" si="15"/>
        <v>1813317780</v>
      </c>
    </row>
    <row r="992" spans="1:4" ht="14" x14ac:dyDescent="0.15">
      <c r="A992" s="322">
        <v>1813700750</v>
      </c>
      <c r="B992" s="322" t="s">
        <v>979</v>
      </c>
      <c r="C992">
        <v>1825200511</v>
      </c>
      <c r="D992">
        <f t="shared" si="15"/>
        <v>1813700750</v>
      </c>
    </row>
    <row r="993" spans="1:4" ht="14" x14ac:dyDescent="0.15">
      <c r="A993" s="322">
        <v>1813700780</v>
      </c>
      <c r="B993" s="322" t="s">
        <v>1491</v>
      </c>
      <c r="C993">
        <v>1825200512</v>
      </c>
      <c r="D993">
        <f t="shared" si="15"/>
        <v>1813700780</v>
      </c>
    </row>
    <row r="994" spans="1:4" ht="14" x14ac:dyDescent="0.15">
      <c r="A994" s="322">
        <v>1813705110</v>
      </c>
      <c r="B994" s="322" t="s">
        <v>932</v>
      </c>
      <c r="C994">
        <v>1825200520</v>
      </c>
      <c r="D994">
        <f t="shared" si="15"/>
        <v>1813705110</v>
      </c>
    </row>
    <row r="995" spans="1:4" ht="14" x14ac:dyDescent="0.15">
      <c r="A995" s="322">
        <v>1815200810</v>
      </c>
      <c r="B995" s="322" t="s">
        <v>981</v>
      </c>
      <c r="C995">
        <v>1825200540</v>
      </c>
      <c r="D995">
        <f t="shared" si="15"/>
        <v>1815200810</v>
      </c>
    </row>
    <row r="996" spans="1:4" ht="14" x14ac:dyDescent="0.15">
      <c r="A996" s="322">
        <v>1815700810</v>
      </c>
      <c r="B996" s="322" t="s">
        <v>982</v>
      </c>
      <c r="C996">
        <v>1825200550</v>
      </c>
      <c r="D996">
        <f t="shared" si="15"/>
        <v>1815700810</v>
      </c>
    </row>
    <row r="997" spans="1:4" ht="14" x14ac:dyDescent="0.15">
      <c r="A997" s="322">
        <v>1815701110</v>
      </c>
      <c r="B997" s="322" t="s">
        <v>163</v>
      </c>
      <c r="C997">
        <v>1825200560</v>
      </c>
      <c r="D997" t="e">
        <f t="shared" si="15"/>
        <v>#N/A</v>
      </c>
    </row>
    <row r="998" spans="1:4" ht="14" x14ac:dyDescent="0.15">
      <c r="A998" s="322">
        <v>1815701810</v>
      </c>
      <c r="B998" s="322" t="s">
        <v>983</v>
      </c>
      <c r="C998">
        <v>1825200570</v>
      </c>
      <c r="D998">
        <f t="shared" si="15"/>
        <v>1815701810</v>
      </c>
    </row>
    <row r="999" spans="1:4" ht="14" x14ac:dyDescent="0.15">
      <c r="A999" s="322">
        <v>1815730422</v>
      </c>
      <c r="B999" s="322" t="s">
        <v>984</v>
      </c>
      <c r="C999">
        <v>1825200581</v>
      </c>
      <c r="D999" t="e">
        <f t="shared" si="15"/>
        <v>#N/A</v>
      </c>
    </row>
    <row r="1000" spans="1:4" ht="14" x14ac:dyDescent="0.15">
      <c r="A1000" s="322">
        <v>1815777780</v>
      </c>
      <c r="B1000" s="322" t="s">
        <v>985</v>
      </c>
      <c r="C1000">
        <v>1825200720</v>
      </c>
      <c r="D1000">
        <f t="shared" si="15"/>
        <v>1815777780</v>
      </c>
    </row>
    <row r="1001" spans="1:4" ht="14" x14ac:dyDescent="0.15">
      <c r="A1001" s="322">
        <v>1815777781</v>
      </c>
      <c r="B1001" s="322" t="s">
        <v>985</v>
      </c>
      <c r="C1001">
        <v>1825200732</v>
      </c>
      <c r="D1001">
        <f t="shared" si="15"/>
        <v>1815777781</v>
      </c>
    </row>
    <row r="1002" spans="1:4" ht="14" x14ac:dyDescent="0.15">
      <c r="A1002" s="322">
        <v>1815788110</v>
      </c>
      <c r="B1002" s="322" t="s">
        <v>933</v>
      </c>
      <c r="C1002">
        <v>1825200740</v>
      </c>
      <c r="D1002" t="e">
        <f t="shared" si="15"/>
        <v>#N/A</v>
      </c>
    </row>
    <row r="1003" spans="1:4" ht="14" x14ac:dyDescent="0.15">
      <c r="A1003" s="322">
        <v>1815788780</v>
      </c>
      <c r="B1003" s="322" t="s">
        <v>986</v>
      </c>
      <c r="C1003">
        <v>1825200750</v>
      </c>
      <c r="D1003">
        <f t="shared" si="15"/>
        <v>1815788780</v>
      </c>
    </row>
    <row r="1004" spans="1:4" ht="14" x14ac:dyDescent="0.15">
      <c r="A1004" s="322">
        <v>1815788781</v>
      </c>
      <c r="B1004" s="322" t="s">
        <v>292</v>
      </c>
      <c r="C1004">
        <v>1825200760</v>
      </c>
      <c r="D1004">
        <f t="shared" si="15"/>
        <v>1815788781</v>
      </c>
    </row>
    <row r="1005" spans="1:4" ht="14" x14ac:dyDescent="0.15">
      <c r="A1005" s="324">
        <v>1817000780</v>
      </c>
      <c r="B1005" s="322" t="s">
        <v>2161</v>
      </c>
      <c r="C1005">
        <v>1825200780</v>
      </c>
      <c r="D1005" t="e">
        <f t="shared" si="15"/>
        <v>#N/A</v>
      </c>
    </row>
    <row r="1006" spans="1:4" ht="14" x14ac:dyDescent="0.15">
      <c r="A1006" s="322">
        <v>1817000980</v>
      </c>
      <c r="B1006" s="322" t="s">
        <v>987</v>
      </c>
      <c r="C1006">
        <v>1825200786</v>
      </c>
      <c r="D1006">
        <f t="shared" si="15"/>
        <v>1817000980</v>
      </c>
    </row>
    <row r="1007" spans="1:4" ht="14" x14ac:dyDescent="0.15">
      <c r="A1007" s="322">
        <v>1817100110</v>
      </c>
      <c r="B1007" s="322" t="s">
        <v>934</v>
      </c>
      <c r="C1007">
        <v>1825200930</v>
      </c>
      <c r="D1007">
        <f t="shared" si="15"/>
        <v>1817100110</v>
      </c>
    </row>
    <row r="1008" spans="1:4" ht="14" x14ac:dyDescent="0.15">
      <c r="A1008" s="322">
        <v>1817100750</v>
      </c>
      <c r="B1008" s="322" t="s">
        <v>988</v>
      </c>
      <c r="C1008">
        <v>1826200830</v>
      </c>
      <c r="D1008">
        <f t="shared" si="15"/>
        <v>1817100750</v>
      </c>
    </row>
    <row r="1009" spans="1:4" ht="14" x14ac:dyDescent="0.15">
      <c r="A1009" s="322">
        <v>1817200110</v>
      </c>
      <c r="B1009" s="322" t="s">
        <v>1490</v>
      </c>
      <c r="C1009">
        <v>1826400410</v>
      </c>
      <c r="D1009">
        <f t="shared" si="15"/>
        <v>1817200110</v>
      </c>
    </row>
    <row r="1010" spans="1:4" ht="14" x14ac:dyDescent="0.15">
      <c r="A1010" s="322">
        <v>1817200540</v>
      </c>
      <c r="B1010" s="322" t="s">
        <v>989</v>
      </c>
      <c r="C1010">
        <v>1826400430</v>
      </c>
      <c r="D1010">
        <f t="shared" si="15"/>
        <v>1817200540</v>
      </c>
    </row>
    <row r="1011" spans="1:4" ht="14" x14ac:dyDescent="0.15">
      <c r="A1011" s="322">
        <v>1817200780</v>
      </c>
      <c r="B1011" s="322" t="s">
        <v>990</v>
      </c>
      <c r="C1011">
        <v>1826400540</v>
      </c>
      <c r="D1011">
        <f t="shared" si="15"/>
        <v>1817200780</v>
      </c>
    </row>
    <row r="1012" spans="1:4" ht="14" x14ac:dyDescent="0.15">
      <c r="A1012" s="322">
        <v>1817300110</v>
      </c>
      <c r="B1012" s="322" t="s">
        <v>523</v>
      </c>
      <c r="C1012">
        <v>1826500581</v>
      </c>
      <c r="D1012">
        <f t="shared" si="15"/>
        <v>1817300110</v>
      </c>
    </row>
    <row r="1013" spans="1:4" ht="14" x14ac:dyDescent="0.15">
      <c r="A1013" s="322">
        <v>1817300430</v>
      </c>
      <c r="B1013" s="322" t="s">
        <v>839</v>
      </c>
      <c r="C1013">
        <v>1826500780</v>
      </c>
      <c r="D1013">
        <f t="shared" si="15"/>
        <v>1817300430</v>
      </c>
    </row>
    <row r="1014" spans="1:4" ht="14" x14ac:dyDescent="0.15">
      <c r="A1014" s="322">
        <v>1817300470</v>
      </c>
      <c r="B1014" s="322" t="s">
        <v>820</v>
      </c>
      <c r="C1014">
        <v>1829200750</v>
      </c>
      <c r="D1014">
        <f t="shared" si="15"/>
        <v>1817300470</v>
      </c>
    </row>
    <row r="1015" spans="1:4" ht="14" x14ac:dyDescent="0.15">
      <c r="A1015" s="322">
        <v>1817300511</v>
      </c>
      <c r="B1015" s="322" t="s">
        <v>697</v>
      </c>
      <c r="C1015">
        <v>1829200751</v>
      </c>
      <c r="D1015">
        <f t="shared" si="15"/>
        <v>1817300511</v>
      </c>
    </row>
    <row r="1016" spans="1:4" ht="14" x14ac:dyDescent="0.15">
      <c r="A1016" s="322">
        <v>1817300521</v>
      </c>
      <c r="B1016" s="322" t="s">
        <v>991</v>
      </c>
      <c r="C1016">
        <v>1829300110</v>
      </c>
      <c r="D1016">
        <f t="shared" si="15"/>
        <v>1817300521</v>
      </c>
    </row>
    <row r="1017" spans="1:4" ht="14" x14ac:dyDescent="0.15">
      <c r="A1017" s="322">
        <v>1817300540</v>
      </c>
      <c r="B1017" s="322" t="s">
        <v>875</v>
      </c>
      <c r="C1017">
        <v>1829300210</v>
      </c>
      <c r="D1017">
        <f t="shared" si="15"/>
        <v>1817300540</v>
      </c>
    </row>
    <row r="1018" spans="1:4" ht="14" x14ac:dyDescent="0.15">
      <c r="A1018" s="322">
        <v>1817300581</v>
      </c>
      <c r="B1018" s="322" t="s">
        <v>1938</v>
      </c>
      <c r="C1018">
        <v>1829900110</v>
      </c>
      <c r="D1018">
        <f t="shared" si="15"/>
        <v>1817300581</v>
      </c>
    </row>
    <row r="1019" spans="1:4" ht="14" x14ac:dyDescent="0.15">
      <c r="A1019" s="322">
        <v>1817300720</v>
      </c>
      <c r="B1019" s="322" t="s">
        <v>689</v>
      </c>
      <c r="C1019">
        <v>1829900430</v>
      </c>
      <c r="D1019">
        <f t="shared" si="15"/>
        <v>1817300720</v>
      </c>
    </row>
    <row r="1020" spans="1:4" ht="14" x14ac:dyDescent="0.15">
      <c r="A1020" s="322">
        <v>1817300750</v>
      </c>
      <c r="B1020" s="322" t="s">
        <v>714</v>
      </c>
      <c r="C1020">
        <v>1829900431</v>
      </c>
      <c r="D1020">
        <f t="shared" si="15"/>
        <v>1817300750</v>
      </c>
    </row>
    <row r="1021" spans="1:4" ht="14" x14ac:dyDescent="0.15">
      <c r="A1021" s="322">
        <v>1817300780</v>
      </c>
      <c r="B1021" s="322" t="s">
        <v>580</v>
      </c>
      <c r="C1021">
        <v>1829900750</v>
      </c>
      <c r="D1021">
        <f t="shared" si="15"/>
        <v>1817300780</v>
      </c>
    </row>
    <row r="1022" spans="1:4" ht="14" x14ac:dyDescent="0.15">
      <c r="A1022" s="322">
        <v>1817300930</v>
      </c>
      <c r="B1022" s="322" t="s">
        <v>1887</v>
      </c>
      <c r="C1022">
        <v>1829900751</v>
      </c>
      <c r="D1022">
        <f t="shared" si="15"/>
        <v>1817300930</v>
      </c>
    </row>
    <row r="1023" spans="1:4" ht="14" x14ac:dyDescent="0.15">
      <c r="A1023" s="322">
        <v>1817304110</v>
      </c>
      <c r="B1023" s="322" t="s">
        <v>936</v>
      </c>
      <c r="C1023">
        <v>1829900810</v>
      </c>
      <c r="D1023">
        <f t="shared" si="15"/>
        <v>1817304110</v>
      </c>
    </row>
    <row r="1024" spans="1:4" ht="14" x14ac:dyDescent="0.15">
      <c r="A1024" s="322">
        <v>1817311110</v>
      </c>
      <c r="B1024" s="322" t="s">
        <v>937</v>
      </c>
      <c r="C1024">
        <v>1829900811</v>
      </c>
      <c r="D1024" t="e">
        <f t="shared" si="15"/>
        <v>#N/A</v>
      </c>
    </row>
    <row r="1025" spans="1:4" ht="14" x14ac:dyDescent="0.15">
      <c r="A1025" s="322">
        <v>1817500760</v>
      </c>
      <c r="B1025" s="322" t="s">
        <v>992</v>
      </c>
      <c r="C1025">
        <v>1829900910</v>
      </c>
      <c r="D1025">
        <f t="shared" si="15"/>
        <v>1817500760</v>
      </c>
    </row>
    <row r="1026" spans="1:4" ht="14" x14ac:dyDescent="0.15">
      <c r="A1026" s="322">
        <v>1817600110</v>
      </c>
      <c r="B1026" s="322" t="s">
        <v>523</v>
      </c>
      <c r="C1026">
        <v>1829910810</v>
      </c>
      <c r="D1026">
        <f t="shared" si="15"/>
        <v>1817600110</v>
      </c>
    </row>
    <row r="1027" spans="1:4" ht="14" x14ac:dyDescent="0.15">
      <c r="A1027" s="322">
        <v>1817600980</v>
      </c>
      <c r="B1027" s="322" t="s">
        <v>993</v>
      </c>
      <c r="C1027" s="182"/>
      <c r="D1027">
        <f t="shared" si="15"/>
        <v>1817600980</v>
      </c>
    </row>
    <row r="1028" spans="1:4" ht="14" x14ac:dyDescent="0.15">
      <c r="A1028" s="322">
        <v>1817622110</v>
      </c>
      <c r="B1028" s="322" t="s">
        <v>167</v>
      </c>
      <c r="C1028" s="182"/>
      <c r="D1028" t="e">
        <f t="shared" ref="D1028:D1091" si="16">VLOOKUP(A1028,$C$3:$C$1296,1,FALSE)</f>
        <v>#N/A</v>
      </c>
    </row>
    <row r="1029" spans="1:4" ht="14" x14ac:dyDescent="0.15">
      <c r="A1029" s="322">
        <v>1817622210</v>
      </c>
      <c r="B1029" s="322" t="s">
        <v>938</v>
      </c>
      <c r="C1029" s="182">
        <v>1836100810</v>
      </c>
      <c r="D1029">
        <f t="shared" si="16"/>
        <v>1817622210</v>
      </c>
    </row>
    <row r="1030" spans="1:4" ht="14" x14ac:dyDescent="0.15">
      <c r="A1030" s="322">
        <v>1817700110</v>
      </c>
      <c r="B1030" s="322" t="s">
        <v>939</v>
      </c>
      <c r="C1030" s="182"/>
      <c r="D1030">
        <f t="shared" si="16"/>
        <v>1817700110</v>
      </c>
    </row>
    <row r="1031" spans="1:4" ht="14" x14ac:dyDescent="0.15">
      <c r="A1031" s="322">
        <v>1817700780</v>
      </c>
      <c r="B1031" s="322" t="s">
        <v>388</v>
      </c>
      <c r="C1031">
        <v>1840000910</v>
      </c>
      <c r="D1031">
        <f t="shared" si="16"/>
        <v>1817700780</v>
      </c>
    </row>
    <row r="1032" spans="1:4" ht="14" x14ac:dyDescent="0.15">
      <c r="A1032" s="322">
        <v>1817701110</v>
      </c>
      <c r="B1032" s="322" t="s">
        <v>940</v>
      </c>
      <c r="C1032">
        <v>1841000110</v>
      </c>
      <c r="D1032">
        <f t="shared" si="16"/>
        <v>1817701110</v>
      </c>
    </row>
    <row r="1033" spans="1:4" ht="14" x14ac:dyDescent="0.15">
      <c r="A1033" s="322">
        <v>1817710110</v>
      </c>
      <c r="B1033" s="322" t="s">
        <v>941</v>
      </c>
      <c r="C1033">
        <v>1841000210</v>
      </c>
      <c r="D1033">
        <f t="shared" si="16"/>
        <v>1817710110</v>
      </c>
    </row>
    <row r="1034" spans="1:4" ht="14" x14ac:dyDescent="0.15">
      <c r="A1034" s="322">
        <v>1817710721</v>
      </c>
      <c r="B1034" s="322" t="s">
        <v>994</v>
      </c>
      <c r="C1034">
        <v>1841000511</v>
      </c>
      <c r="D1034">
        <f t="shared" si="16"/>
        <v>1817710721</v>
      </c>
    </row>
    <row r="1035" spans="1:4" ht="14" x14ac:dyDescent="0.15">
      <c r="A1035" s="324">
        <v>1817711110</v>
      </c>
      <c r="B1035" s="322" t="s">
        <v>942</v>
      </c>
      <c r="C1035">
        <v>1841000512</v>
      </c>
      <c r="D1035" t="e">
        <f t="shared" si="16"/>
        <v>#N/A</v>
      </c>
    </row>
    <row r="1036" spans="1:4" ht="14" x14ac:dyDescent="0.15">
      <c r="A1036" s="322">
        <v>1817727110</v>
      </c>
      <c r="B1036" s="322" t="s">
        <v>943</v>
      </c>
      <c r="C1036">
        <v>1841000560</v>
      </c>
      <c r="D1036">
        <f t="shared" si="16"/>
        <v>1817727110</v>
      </c>
    </row>
    <row r="1037" spans="1:4" ht="14" x14ac:dyDescent="0.15">
      <c r="A1037" s="322">
        <v>1817728110</v>
      </c>
      <c r="B1037" s="322" t="s">
        <v>944</v>
      </c>
      <c r="C1037">
        <v>1841000570</v>
      </c>
      <c r="D1037">
        <f t="shared" si="16"/>
        <v>1817728110</v>
      </c>
    </row>
    <row r="1038" spans="1:4" ht="14" x14ac:dyDescent="0.15">
      <c r="A1038" s="322">
        <v>1817800110</v>
      </c>
      <c r="B1038" s="322" t="s">
        <v>1159</v>
      </c>
      <c r="C1038">
        <v>1841000571</v>
      </c>
      <c r="D1038">
        <f t="shared" si="16"/>
        <v>1817800110</v>
      </c>
    </row>
    <row r="1039" spans="1:4" ht="14" x14ac:dyDescent="0.15">
      <c r="A1039" s="322">
        <v>1817800210</v>
      </c>
      <c r="B1039" s="322" t="s">
        <v>945</v>
      </c>
      <c r="C1039">
        <v>1841000580</v>
      </c>
      <c r="D1039">
        <f t="shared" si="16"/>
        <v>1817800210</v>
      </c>
    </row>
    <row r="1040" spans="1:4" ht="14" x14ac:dyDescent="0.15">
      <c r="A1040" s="322">
        <v>1817800510</v>
      </c>
      <c r="B1040" s="322" t="s">
        <v>995</v>
      </c>
      <c r="C1040">
        <v>1841000581</v>
      </c>
      <c r="D1040">
        <f t="shared" si="16"/>
        <v>1817800510</v>
      </c>
    </row>
    <row r="1041" spans="1:4" ht="14" x14ac:dyDescent="0.15">
      <c r="A1041" s="322">
        <v>1817900110</v>
      </c>
      <c r="B1041" s="322" t="s">
        <v>523</v>
      </c>
      <c r="C1041">
        <v>1841000750</v>
      </c>
      <c r="D1041">
        <f t="shared" si="16"/>
        <v>1817900110</v>
      </c>
    </row>
    <row r="1042" spans="1:4" ht="14" x14ac:dyDescent="0.15">
      <c r="A1042" s="322">
        <v>1817900430</v>
      </c>
      <c r="B1042" s="322" t="s">
        <v>996</v>
      </c>
      <c r="C1042">
        <v>1841000780</v>
      </c>
      <c r="D1042">
        <f t="shared" si="16"/>
        <v>1817900430</v>
      </c>
    </row>
    <row r="1043" spans="1:4" ht="14" x14ac:dyDescent="0.15">
      <c r="A1043" s="322">
        <v>1817900540</v>
      </c>
      <c r="B1043" s="322" t="s">
        <v>997</v>
      </c>
      <c r="C1043">
        <v>1841000843</v>
      </c>
      <c r="D1043">
        <f t="shared" si="16"/>
        <v>1817900540</v>
      </c>
    </row>
    <row r="1044" spans="1:4" ht="14" x14ac:dyDescent="0.15">
      <c r="A1044" s="322">
        <v>1817900780</v>
      </c>
      <c r="B1044" s="322" t="s">
        <v>580</v>
      </c>
      <c r="C1044">
        <v>1841000846</v>
      </c>
      <c r="D1044">
        <f t="shared" si="16"/>
        <v>1817900780</v>
      </c>
    </row>
    <row r="1045" spans="1:4" ht="14" x14ac:dyDescent="0.15">
      <c r="A1045" s="322">
        <v>1817900910</v>
      </c>
      <c r="B1045" s="322" t="s">
        <v>704</v>
      </c>
      <c r="C1045">
        <v>1841000910</v>
      </c>
      <c r="D1045">
        <f t="shared" si="16"/>
        <v>1817900910</v>
      </c>
    </row>
    <row r="1046" spans="1:4" ht="14" x14ac:dyDescent="0.15">
      <c r="A1046" s="324">
        <v>1817900930</v>
      </c>
      <c r="B1046" s="322" t="s">
        <v>579</v>
      </c>
      <c r="C1046">
        <v>1841000980</v>
      </c>
      <c r="D1046" t="e">
        <f t="shared" si="16"/>
        <v>#N/A</v>
      </c>
    </row>
    <row r="1047" spans="1:4" ht="14" x14ac:dyDescent="0.15">
      <c r="A1047" s="322">
        <v>1817904110</v>
      </c>
      <c r="B1047" s="322" t="s">
        <v>946</v>
      </c>
      <c r="C1047">
        <v>1841000981</v>
      </c>
      <c r="D1047">
        <f t="shared" si="16"/>
        <v>1817904110</v>
      </c>
    </row>
    <row r="1048" spans="1:4" ht="14" x14ac:dyDescent="0.15">
      <c r="A1048" s="322">
        <v>1817922780</v>
      </c>
      <c r="B1048" s="322" t="s">
        <v>998</v>
      </c>
      <c r="C1048">
        <v>1841100750</v>
      </c>
      <c r="D1048">
        <f t="shared" si="16"/>
        <v>1817922780</v>
      </c>
    </row>
    <row r="1049" spans="1:4" ht="14" x14ac:dyDescent="0.15">
      <c r="A1049" s="322">
        <v>1817950210</v>
      </c>
      <c r="B1049" s="322" t="s">
        <v>947</v>
      </c>
      <c r="C1049">
        <v>1842200840</v>
      </c>
      <c r="D1049">
        <f t="shared" si="16"/>
        <v>1817950210</v>
      </c>
    </row>
    <row r="1050" spans="1:4" ht="14" x14ac:dyDescent="0.15">
      <c r="A1050" s="322">
        <v>1817950430</v>
      </c>
      <c r="B1050" s="322" t="s">
        <v>999</v>
      </c>
      <c r="C1050">
        <v>1842200843</v>
      </c>
      <c r="D1050">
        <f t="shared" si="16"/>
        <v>1817950430</v>
      </c>
    </row>
    <row r="1051" spans="1:4" ht="14" x14ac:dyDescent="0.15">
      <c r="A1051" s="322">
        <v>1817950540</v>
      </c>
      <c r="B1051" s="322" t="s">
        <v>1000</v>
      </c>
      <c r="C1051">
        <v>1842200844</v>
      </c>
      <c r="D1051">
        <f t="shared" si="16"/>
        <v>1817950540</v>
      </c>
    </row>
    <row r="1052" spans="1:4" ht="14" x14ac:dyDescent="0.15">
      <c r="A1052" s="322">
        <v>1817950750</v>
      </c>
      <c r="B1052" s="322" t="s">
        <v>1001</v>
      </c>
      <c r="C1052">
        <v>1842200846</v>
      </c>
      <c r="D1052">
        <f t="shared" si="16"/>
        <v>1817950750</v>
      </c>
    </row>
    <row r="1053" spans="1:4" ht="14" x14ac:dyDescent="0.15">
      <c r="A1053" s="322">
        <v>1817950780</v>
      </c>
      <c r="B1053" s="322" t="s">
        <v>172</v>
      </c>
      <c r="C1053">
        <v>1842200847</v>
      </c>
      <c r="D1053">
        <f t="shared" si="16"/>
        <v>1817950780</v>
      </c>
    </row>
    <row r="1054" spans="1:4" ht="14" x14ac:dyDescent="0.15">
      <c r="A1054" s="322">
        <v>1817950980</v>
      </c>
      <c r="B1054" s="322" t="s">
        <v>1002</v>
      </c>
      <c r="C1054">
        <v>1842400110</v>
      </c>
      <c r="D1054">
        <f t="shared" si="16"/>
        <v>1817950980</v>
      </c>
    </row>
    <row r="1055" spans="1:4" ht="14" x14ac:dyDescent="0.15">
      <c r="A1055" s="322">
        <v>1817951110</v>
      </c>
      <c r="B1055" s="322" t="s">
        <v>948</v>
      </c>
      <c r="C1055">
        <v>1842400841</v>
      </c>
      <c r="D1055">
        <f t="shared" si="16"/>
        <v>1817951110</v>
      </c>
    </row>
    <row r="1056" spans="1:4" ht="14" x14ac:dyDescent="0.15">
      <c r="A1056" s="322">
        <v>1817960110</v>
      </c>
      <c r="B1056" s="322" t="s">
        <v>949</v>
      </c>
      <c r="C1056">
        <v>1842400844</v>
      </c>
      <c r="D1056">
        <f t="shared" si="16"/>
        <v>1817960110</v>
      </c>
    </row>
    <row r="1057" spans="1:4" ht="14" x14ac:dyDescent="0.15">
      <c r="A1057" s="322">
        <v>1817960430</v>
      </c>
      <c r="B1057" s="322" t="s">
        <v>1003</v>
      </c>
      <c r="C1057">
        <v>1842400845</v>
      </c>
      <c r="D1057">
        <f t="shared" si="16"/>
        <v>1817960430</v>
      </c>
    </row>
    <row r="1058" spans="1:4" ht="14" x14ac:dyDescent="0.15">
      <c r="A1058" s="322">
        <v>1817960540</v>
      </c>
      <c r="B1058" s="322" t="s">
        <v>1004</v>
      </c>
      <c r="C1058">
        <v>1842400847</v>
      </c>
      <c r="D1058">
        <f t="shared" si="16"/>
        <v>1817960540</v>
      </c>
    </row>
    <row r="1059" spans="1:4" ht="14" x14ac:dyDescent="0.15">
      <c r="A1059" s="322">
        <v>1817960780</v>
      </c>
      <c r="B1059" s="322" t="s">
        <v>1005</v>
      </c>
      <c r="C1059">
        <v>1842401840</v>
      </c>
      <c r="D1059">
        <f t="shared" si="16"/>
        <v>1817960780</v>
      </c>
    </row>
    <row r="1060" spans="1:4" ht="14" x14ac:dyDescent="0.15">
      <c r="A1060" s="322">
        <v>1817960781</v>
      </c>
      <c r="B1060" s="322" t="s">
        <v>1006</v>
      </c>
      <c r="C1060">
        <v>1842401841</v>
      </c>
      <c r="D1060">
        <f t="shared" si="16"/>
        <v>1817960781</v>
      </c>
    </row>
    <row r="1061" spans="1:4" ht="14" x14ac:dyDescent="0.15">
      <c r="A1061" s="322">
        <v>1817961110</v>
      </c>
      <c r="B1061" s="322" t="s">
        <v>950</v>
      </c>
      <c r="C1061">
        <v>1842410110</v>
      </c>
      <c r="D1061">
        <f t="shared" si="16"/>
        <v>1817961110</v>
      </c>
    </row>
    <row r="1062" spans="1:4" ht="14" x14ac:dyDescent="0.15">
      <c r="A1062" s="322">
        <v>1817962110</v>
      </c>
      <c r="B1062" s="322" t="s">
        <v>951</v>
      </c>
      <c r="C1062">
        <v>1843500210</v>
      </c>
      <c r="D1062" t="e">
        <f t="shared" si="16"/>
        <v>#N/A</v>
      </c>
    </row>
    <row r="1063" spans="1:4" ht="14" x14ac:dyDescent="0.15">
      <c r="A1063" s="324">
        <v>1819950210</v>
      </c>
      <c r="B1063" s="322" t="s">
        <v>1248</v>
      </c>
      <c r="C1063">
        <v>1843500840</v>
      </c>
      <c r="D1063" t="e">
        <f t="shared" si="16"/>
        <v>#N/A</v>
      </c>
    </row>
    <row r="1064" spans="1:4" ht="14" x14ac:dyDescent="0.15">
      <c r="A1064" s="322">
        <v>1819951210</v>
      </c>
      <c r="B1064" s="322" t="s">
        <v>952</v>
      </c>
      <c r="C1064">
        <v>1843500841</v>
      </c>
      <c r="D1064">
        <f t="shared" si="16"/>
        <v>1819951210</v>
      </c>
    </row>
    <row r="1065" spans="1:4" ht="14" x14ac:dyDescent="0.15">
      <c r="A1065" s="322">
        <v>1819999110</v>
      </c>
      <c r="B1065" s="322" t="s">
        <v>919</v>
      </c>
      <c r="C1065">
        <v>1843500842</v>
      </c>
      <c r="D1065">
        <f t="shared" si="16"/>
        <v>1819999110</v>
      </c>
    </row>
    <row r="1066" spans="1:4" ht="14" x14ac:dyDescent="0.15">
      <c r="A1066" s="322">
        <v>1819999210</v>
      </c>
      <c r="B1066" s="322" t="s">
        <v>1489</v>
      </c>
      <c r="C1066">
        <v>1843500844</v>
      </c>
      <c r="D1066">
        <f t="shared" si="16"/>
        <v>1819999210</v>
      </c>
    </row>
    <row r="1067" spans="1:4" ht="14" x14ac:dyDescent="0.15">
      <c r="A1067" s="322">
        <v>1819999780</v>
      </c>
      <c r="B1067" s="322" t="s">
        <v>1007</v>
      </c>
      <c r="C1067">
        <v>1843500845</v>
      </c>
      <c r="D1067">
        <f t="shared" si="16"/>
        <v>1819999780</v>
      </c>
    </row>
    <row r="1068" spans="1:4" ht="14" x14ac:dyDescent="0.15">
      <c r="A1068" s="324">
        <v>1819999999</v>
      </c>
      <c r="B1068" s="322" t="s">
        <v>173</v>
      </c>
      <c r="C1068">
        <v>1843500847</v>
      </c>
      <c r="D1068" t="e">
        <f t="shared" si="16"/>
        <v>#N/A</v>
      </c>
    </row>
    <row r="1069" spans="1:4" ht="14" x14ac:dyDescent="0.15">
      <c r="A1069" s="324">
        <v>1822000110</v>
      </c>
      <c r="B1069" s="322" t="s">
        <v>1150</v>
      </c>
      <c r="C1069">
        <v>1843500849</v>
      </c>
      <c r="D1069" t="e">
        <f t="shared" si="16"/>
        <v>#N/A</v>
      </c>
    </row>
    <row r="1070" spans="1:4" ht="14" x14ac:dyDescent="0.15">
      <c r="A1070" s="322">
        <v>1822000750</v>
      </c>
      <c r="B1070" s="322" t="s">
        <v>828</v>
      </c>
      <c r="C1070">
        <v>1843500850</v>
      </c>
      <c r="D1070">
        <f t="shared" si="16"/>
        <v>1822000750</v>
      </c>
    </row>
    <row r="1071" spans="1:4" ht="14" x14ac:dyDescent="0.15">
      <c r="A1071" s="322">
        <v>1822000780</v>
      </c>
      <c r="B1071" s="322" t="s">
        <v>829</v>
      </c>
      <c r="C1071">
        <v>1843500851</v>
      </c>
      <c r="D1071">
        <f t="shared" si="16"/>
        <v>1822000780</v>
      </c>
    </row>
    <row r="1072" spans="1:4" ht="14" x14ac:dyDescent="0.15">
      <c r="A1072" s="322">
        <v>1822000781</v>
      </c>
      <c r="B1072" s="322" t="s">
        <v>830</v>
      </c>
      <c r="C1072">
        <v>1843510110</v>
      </c>
      <c r="D1072">
        <f t="shared" si="16"/>
        <v>1822000781</v>
      </c>
    </row>
    <row r="1073" spans="1:4" ht="14" x14ac:dyDescent="0.15">
      <c r="A1073" s="322">
        <v>1822000782</v>
      </c>
      <c r="B1073" s="322" t="s">
        <v>831</v>
      </c>
      <c r="C1073">
        <v>1843800110</v>
      </c>
      <c r="D1073">
        <f t="shared" si="16"/>
        <v>1822000782</v>
      </c>
    </row>
    <row r="1074" spans="1:4" ht="14" x14ac:dyDescent="0.15">
      <c r="A1074" s="322">
        <v>1822000783</v>
      </c>
      <c r="B1074" s="322" t="s">
        <v>832</v>
      </c>
      <c r="C1074">
        <v>1843800840</v>
      </c>
      <c r="D1074">
        <f t="shared" si="16"/>
        <v>1822000783</v>
      </c>
    </row>
    <row r="1075" spans="1:4" ht="14" x14ac:dyDescent="0.15">
      <c r="A1075" s="322">
        <v>1822000784</v>
      </c>
      <c r="B1075" s="322" t="s">
        <v>833</v>
      </c>
      <c r="C1075">
        <v>1843800842</v>
      </c>
      <c r="D1075">
        <f t="shared" si="16"/>
        <v>1822000784</v>
      </c>
    </row>
    <row r="1076" spans="1:4" ht="14" x14ac:dyDescent="0.15">
      <c r="A1076" s="322">
        <v>1822000785</v>
      </c>
      <c r="B1076" s="322" t="s">
        <v>834</v>
      </c>
      <c r="C1076">
        <v>1843800845</v>
      </c>
      <c r="D1076">
        <f t="shared" si="16"/>
        <v>1822000785</v>
      </c>
    </row>
    <row r="1077" spans="1:4" ht="14" x14ac:dyDescent="0.15">
      <c r="A1077" s="322">
        <v>1822000786</v>
      </c>
      <c r="B1077" s="322" t="s">
        <v>835</v>
      </c>
      <c r="C1077">
        <v>1843900840</v>
      </c>
      <c r="D1077">
        <f t="shared" si="16"/>
        <v>1822000786</v>
      </c>
    </row>
    <row r="1078" spans="1:4" ht="14" x14ac:dyDescent="0.15">
      <c r="A1078" s="322">
        <v>1822000788</v>
      </c>
      <c r="B1078" s="322" t="s">
        <v>174</v>
      </c>
      <c r="C1078">
        <v>1844000430</v>
      </c>
      <c r="D1078">
        <f t="shared" si="16"/>
        <v>1822000788</v>
      </c>
    </row>
    <row r="1079" spans="1:4" ht="14" x14ac:dyDescent="0.15">
      <c r="A1079" s="322">
        <v>1822000822</v>
      </c>
      <c r="B1079" s="322" t="s">
        <v>836</v>
      </c>
      <c r="C1079">
        <v>1844300840</v>
      </c>
      <c r="D1079" t="e">
        <f t="shared" si="16"/>
        <v>#N/A</v>
      </c>
    </row>
    <row r="1080" spans="1:4" ht="14" x14ac:dyDescent="0.15">
      <c r="A1080" s="322">
        <v>1822300780</v>
      </c>
      <c r="B1080" s="322" t="s">
        <v>837</v>
      </c>
      <c r="C1080">
        <v>1844300842</v>
      </c>
      <c r="D1080">
        <f t="shared" si="16"/>
        <v>1822300780</v>
      </c>
    </row>
    <row r="1081" spans="1:4" ht="14" x14ac:dyDescent="0.15">
      <c r="A1081" s="322">
        <v>1822300781</v>
      </c>
      <c r="B1081" s="322" t="s">
        <v>82</v>
      </c>
      <c r="C1081">
        <v>1844400780</v>
      </c>
      <c r="D1081">
        <f t="shared" si="16"/>
        <v>1822300781</v>
      </c>
    </row>
    <row r="1082" spans="1:4" ht="14" x14ac:dyDescent="0.15">
      <c r="A1082" s="322">
        <v>1822300782</v>
      </c>
      <c r="B1082" s="322" t="s">
        <v>1461</v>
      </c>
      <c r="C1082">
        <v>1844400840</v>
      </c>
      <c r="D1082">
        <f t="shared" si="16"/>
        <v>1822300782</v>
      </c>
    </row>
    <row r="1083" spans="1:4" ht="14" x14ac:dyDescent="0.15">
      <c r="A1083" s="324">
        <v>1822300980</v>
      </c>
      <c r="B1083" s="322" t="s">
        <v>2162</v>
      </c>
      <c r="C1083">
        <v>1844400841</v>
      </c>
      <c r="D1083" t="e">
        <f t="shared" si="16"/>
        <v>#N/A</v>
      </c>
    </row>
    <row r="1084" spans="1:4" ht="14" x14ac:dyDescent="0.15">
      <c r="A1084" s="322">
        <v>1822800780</v>
      </c>
      <c r="B1084" s="322" t="s">
        <v>838</v>
      </c>
      <c r="C1084">
        <v>1844400842</v>
      </c>
      <c r="D1084">
        <f t="shared" si="16"/>
        <v>1822800780</v>
      </c>
    </row>
    <row r="1085" spans="1:4" ht="14" x14ac:dyDescent="0.15">
      <c r="A1085" s="322">
        <v>1823000110</v>
      </c>
      <c r="B1085" s="322" t="s">
        <v>523</v>
      </c>
      <c r="C1085">
        <v>1844400844</v>
      </c>
      <c r="D1085">
        <f t="shared" si="16"/>
        <v>1823000110</v>
      </c>
    </row>
    <row r="1086" spans="1:4" ht="14" x14ac:dyDescent="0.15">
      <c r="A1086" s="322">
        <v>1823000210</v>
      </c>
      <c r="B1086" s="322" t="s">
        <v>244</v>
      </c>
      <c r="C1086">
        <v>1844400845</v>
      </c>
      <c r="D1086">
        <f t="shared" si="16"/>
        <v>1823000210</v>
      </c>
    </row>
    <row r="1087" spans="1:4" ht="14" x14ac:dyDescent="0.15">
      <c r="A1087" s="322">
        <v>1823000430</v>
      </c>
      <c r="B1087" s="322" t="s">
        <v>839</v>
      </c>
      <c r="C1087">
        <v>1844400849</v>
      </c>
      <c r="D1087">
        <f t="shared" si="16"/>
        <v>1823000430</v>
      </c>
    </row>
    <row r="1088" spans="1:4" ht="14" x14ac:dyDescent="0.15">
      <c r="A1088" s="322">
        <v>1823000470</v>
      </c>
      <c r="B1088" s="322" t="s">
        <v>840</v>
      </c>
      <c r="C1088">
        <v>1844400853</v>
      </c>
      <c r="D1088" t="e">
        <f t="shared" si="16"/>
        <v>#N/A</v>
      </c>
    </row>
    <row r="1089" spans="1:4" ht="14" x14ac:dyDescent="0.15">
      <c r="A1089" s="324">
        <v>1823000511</v>
      </c>
      <c r="B1089" s="322" t="s">
        <v>2163</v>
      </c>
      <c r="C1089">
        <v>1844500840</v>
      </c>
      <c r="D1089" t="e">
        <f t="shared" si="16"/>
        <v>#N/A</v>
      </c>
    </row>
    <row r="1090" spans="1:4" ht="14" x14ac:dyDescent="0.15">
      <c r="A1090" s="322">
        <v>1823000520</v>
      </c>
      <c r="B1090" s="322" t="s">
        <v>841</v>
      </c>
      <c r="C1090">
        <v>1844500843</v>
      </c>
      <c r="D1090">
        <f t="shared" si="16"/>
        <v>1823000520</v>
      </c>
    </row>
    <row r="1091" spans="1:4" ht="14" x14ac:dyDescent="0.15">
      <c r="A1091" s="322">
        <v>1823000522</v>
      </c>
      <c r="B1091" s="322" t="s">
        <v>842</v>
      </c>
      <c r="C1091">
        <v>1844500845</v>
      </c>
      <c r="D1091" t="e">
        <f t="shared" si="16"/>
        <v>#N/A</v>
      </c>
    </row>
    <row r="1092" spans="1:4" ht="14" x14ac:dyDescent="0.15">
      <c r="A1092" s="322">
        <v>1823000540</v>
      </c>
      <c r="B1092" s="322" t="s">
        <v>843</v>
      </c>
      <c r="C1092">
        <v>1845100842</v>
      </c>
      <c r="D1092">
        <f t="shared" ref="D1092:D1155" si="17">VLOOKUP(A1092,$C$3:$C$1296,1,FALSE)</f>
        <v>1823000540</v>
      </c>
    </row>
    <row r="1093" spans="1:4" ht="14" x14ac:dyDescent="0.15">
      <c r="A1093" s="322">
        <v>1823000560</v>
      </c>
      <c r="B1093" s="322" t="s">
        <v>844</v>
      </c>
      <c r="C1093">
        <v>1845100843</v>
      </c>
      <c r="D1093">
        <f t="shared" si="17"/>
        <v>1823000560</v>
      </c>
    </row>
    <row r="1094" spans="1:4" ht="14" x14ac:dyDescent="0.15">
      <c r="A1094" s="322">
        <v>1823000570</v>
      </c>
      <c r="B1094" s="322" t="s">
        <v>1897</v>
      </c>
      <c r="C1094">
        <v>1845100844</v>
      </c>
      <c r="D1094">
        <f t="shared" si="17"/>
        <v>1823000570</v>
      </c>
    </row>
    <row r="1095" spans="1:4" ht="14" x14ac:dyDescent="0.15">
      <c r="A1095" s="322">
        <v>1823000581</v>
      </c>
      <c r="B1095" s="322" t="s">
        <v>2164</v>
      </c>
      <c r="C1095">
        <v>1845100845</v>
      </c>
      <c r="D1095">
        <f t="shared" si="17"/>
        <v>1823000581</v>
      </c>
    </row>
    <row r="1096" spans="1:4" ht="14" x14ac:dyDescent="0.15">
      <c r="A1096" s="322">
        <v>1823000731</v>
      </c>
      <c r="B1096" s="322" t="s">
        <v>1151</v>
      </c>
      <c r="C1096">
        <v>1845100846</v>
      </c>
      <c r="D1096">
        <f t="shared" si="17"/>
        <v>1823000731</v>
      </c>
    </row>
    <row r="1097" spans="1:4" ht="14" x14ac:dyDescent="0.15">
      <c r="A1097" s="322">
        <v>1823000740</v>
      </c>
      <c r="B1097" s="322" t="s">
        <v>845</v>
      </c>
      <c r="C1097">
        <v>1845100848</v>
      </c>
      <c r="D1097">
        <f t="shared" si="17"/>
        <v>1823000740</v>
      </c>
    </row>
    <row r="1098" spans="1:4" ht="14" x14ac:dyDescent="0.15">
      <c r="A1098" s="322">
        <v>1823000750</v>
      </c>
      <c r="B1098" s="322" t="s">
        <v>846</v>
      </c>
      <c r="C1098">
        <v>1845100849</v>
      </c>
      <c r="D1098">
        <f t="shared" si="17"/>
        <v>1823000750</v>
      </c>
    </row>
    <row r="1099" spans="1:4" ht="14" x14ac:dyDescent="0.15">
      <c r="A1099" s="322">
        <v>1823000780</v>
      </c>
      <c r="B1099" s="322" t="s">
        <v>580</v>
      </c>
      <c r="C1099">
        <v>1845100850</v>
      </c>
      <c r="D1099">
        <f t="shared" si="17"/>
        <v>1823000780</v>
      </c>
    </row>
    <row r="1100" spans="1:4" ht="14" x14ac:dyDescent="0.15">
      <c r="A1100" s="322">
        <v>1823000930</v>
      </c>
      <c r="B1100" s="322" t="s">
        <v>847</v>
      </c>
      <c r="C1100">
        <v>1845100851</v>
      </c>
      <c r="D1100">
        <f t="shared" si="17"/>
        <v>1823000930</v>
      </c>
    </row>
    <row r="1101" spans="1:4" ht="14" x14ac:dyDescent="0.15">
      <c r="A1101" s="322">
        <v>1823010110</v>
      </c>
      <c r="B1101" s="322" t="s">
        <v>83</v>
      </c>
      <c r="C1101">
        <v>1845100852</v>
      </c>
      <c r="D1101" t="e">
        <f t="shared" si="17"/>
        <v>#N/A</v>
      </c>
    </row>
    <row r="1102" spans="1:4" ht="14" x14ac:dyDescent="0.15">
      <c r="A1102" s="322">
        <v>1824000810</v>
      </c>
      <c r="B1102" s="322" t="s">
        <v>849</v>
      </c>
      <c r="C1102">
        <v>1845100853</v>
      </c>
      <c r="D1102">
        <f t="shared" si="17"/>
        <v>1824000810</v>
      </c>
    </row>
    <row r="1103" spans="1:4" ht="14" x14ac:dyDescent="0.15">
      <c r="A1103" s="322">
        <v>1824000811</v>
      </c>
      <c r="B1103" s="322" t="s">
        <v>177</v>
      </c>
      <c r="C1103">
        <v>1845200110</v>
      </c>
      <c r="D1103">
        <f t="shared" si="17"/>
        <v>1824000811</v>
      </c>
    </row>
    <row r="1104" spans="1:4" ht="14" x14ac:dyDescent="0.15">
      <c r="A1104" s="322">
        <v>1824000812</v>
      </c>
      <c r="B1104" s="322" t="s">
        <v>850</v>
      </c>
      <c r="C1104">
        <v>1845200210</v>
      </c>
      <c r="D1104">
        <f t="shared" si="17"/>
        <v>1824000812</v>
      </c>
    </row>
    <row r="1105" spans="1:4" ht="14" x14ac:dyDescent="0.15">
      <c r="A1105" s="322">
        <v>1824000813</v>
      </c>
      <c r="B1105" s="322" t="s">
        <v>178</v>
      </c>
      <c r="C1105">
        <v>1845200841</v>
      </c>
      <c r="D1105">
        <f t="shared" si="17"/>
        <v>1824000813</v>
      </c>
    </row>
    <row r="1106" spans="1:4" ht="14" x14ac:dyDescent="0.15">
      <c r="A1106" s="322">
        <v>1824000814</v>
      </c>
      <c r="B1106" s="322" t="s">
        <v>851</v>
      </c>
      <c r="C1106">
        <v>1845200842</v>
      </c>
      <c r="D1106">
        <f t="shared" si="17"/>
        <v>1824000814</v>
      </c>
    </row>
    <row r="1107" spans="1:4" ht="14" x14ac:dyDescent="0.15">
      <c r="A1107" s="322">
        <v>1824000816</v>
      </c>
      <c r="B1107" s="322" t="s">
        <v>1166</v>
      </c>
      <c r="C1107">
        <v>1845200846</v>
      </c>
      <c r="D1107">
        <f t="shared" si="17"/>
        <v>1824000816</v>
      </c>
    </row>
    <row r="1108" spans="1:4" ht="14" x14ac:dyDescent="0.15">
      <c r="A1108" s="322">
        <v>1824000817</v>
      </c>
      <c r="B1108" s="322" t="s">
        <v>1621</v>
      </c>
      <c r="C1108">
        <v>1845200847</v>
      </c>
      <c r="D1108">
        <f t="shared" si="17"/>
        <v>1824000817</v>
      </c>
    </row>
    <row r="1109" spans="1:4" ht="14" x14ac:dyDescent="0.15">
      <c r="A1109" s="322">
        <v>1824000818</v>
      </c>
      <c r="B1109" s="322" t="s">
        <v>1622</v>
      </c>
      <c r="C1109">
        <v>1845300840</v>
      </c>
      <c r="D1109">
        <f t="shared" si="17"/>
        <v>1824000818</v>
      </c>
    </row>
    <row r="1110" spans="1:4" ht="14" x14ac:dyDescent="0.15">
      <c r="A1110" s="322">
        <v>1825000530</v>
      </c>
      <c r="B1110" s="322" t="s">
        <v>2165</v>
      </c>
      <c r="C1110">
        <v>1845300841</v>
      </c>
      <c r="D1110">
        <f t="shared" si="17"/>
        <v>1825000530</v>
      </c>
    </row>
    <row r="1111" spans="1:4" ht="14" x14ac:dyDescent="0.15">
      <c r="A1111" s="322">
        <v>1825200110</v>
      </c>
      <c r="B1111" s="322" t="s">
        <v>523</v>
      </c>
      <c r="C1111">
        <v>1845300843</v>
      </c>
      <c r="D1111">
        <f t="shared" si="17"/>
        <v>1825200110</v>
      </c>
    </row>
    <row r="1112" spans="1:4" ht="14" x14ac:dyDescent="0.15">
      <c r="A1112" s="322">
        <v>1825200210</v>
      </c>
      <c r="B1112" s="322" t="s">
        <v>535</v>
      </c>
      <c r="C1112">
        <v>1845300846</v>
      </c>
      <c r="D1112">
        <f t="shared" si="17"/>
        <v>1825200210</v>
      </c>
    </row>
    <row r="1113" spans="1:4" ht="14" x14ac:dyDescent="0.15">
      <c r="A1113" s="322">
        <v>1825200420</v>
      </c>
      <c r="B1113" s="322" t="s">
        <v>852</v>
      </c>
      <c r="C1113">
        <v>1845300847</v>
      </c>
      <c r="D1113">
        <f t="shared" si="17"/>
        <v>1825200420</v>
      </c>
    </row>
    <row r="1114" spans="1:4" ht="14" x14ac:dyDescent="0.15">
      <c r="A1114" s="322">
        <v>1825200430</v>
      </c>
      <c r="B1114" s="322" t="s">
        <v>853</v>
      </c>
      <c r="C1114">
        <v>1845300848</v>
      </c>
      <c r="D1114">
        <f t="shared" si="17"/>
        <v>1825200430</v>
      </c>
    </row>
    <row r="1115" spans="1:4" ht="14" x14ac:dyDescent="0.15">
      <c r="A1115" s="322">
        <v>1825200433</v>
      </c>
      <c r="B1115" s="322" t="s">
        <v>854</v>
      </c>
      <c r="C1115">
        <v>1846100840</v>
      </c>
      <c r="D1115">
        <f t="shared" si="17"/>
        <v>1825200433</v>
      </c>
    </row>
    <row r="1116" spans="1:4" ht="14" x14ac:dyDescent="0.15">
      <c r="A1116" s="322">
        <v>1825200450</v>
      </c>
      <c r="B1116" s="322" t="s">
        <v>855</v>
      </c>
      <c r="C1116">
        <v>1846300841</v>
      </c>
      <c r="D1116">
        <f t="shared" si="17"/>
        <v>1825200450</v>
      </c>
    </row>
    <row r="1117" spans="1:4" ht="14" x14ac:dyDescent="0.15">
      <c r="A1117" s="322">
        <v>1825200470</v>
      </c>
      <c r="B1117" s="322" t="s">
        <v>856</v>
      </c>
      <c r="C1117">
        <v>1846300843</v>
      </c>
      <c r="D1117">
        <f t="shared" si="17"/>
        <v>1825200470</v>
      </c>
    </row>
    <row r="1118" spans="1:4" ht="14" x14ac:dyDescent="0.15">
      <c r="A1118" s="322">
        <v>1825200511</v>
      </c>
      <c r="B1118" s="322" t="s">
        <v>1624</v>
      </c>
      <c r="C1118">
        <v>1846400780</v>
      </c>
      <c r="D1118">
        <f t="shared" si="17"/>
        <v>1825200511</v>
      </c>
    </row>
    <row r="1119" spans="1:4" ht="14" x14ac:dyDescent="0.15">
      <c r="A1119" s="322">
        <v>1825200512</v>
      </c>
      <c r="B1119" s="322" t="s">
        <v>857</v>
      </c>
      <c r="C1119">
        <v>1846400840</v>
      </c>
      <c r="D1119">
        <f t="shared" si="17"/>
        <v>1825200512</v>
      </c>
    </row>
    <row r="1120" spans="1:4" ht="14" x14ac:dyDescent="0.15">
      <c r="A1120" s="322">
        <v>1825200520</v>
      </c>
      <c r="B1120" s="322" t="s">
        <v>858</v>
      </c>
      <c r="C1120">
        <v>1846500840</v>
      </c>
      <c r="D1120">
        <f t="shared" si="17"/>
        <v>1825200520</v>
      </c>
    </row>
    <row r="1121" spans="1:4" ht="14" x14ac:dyDescent="0.15">
      <c r="A1121" s="322">
        <v>1825200540</v>
      </c>
      <c r="B1121" s="322" t="s">
        <v>859</v>
      </c>
      <c r="C1121">
        <v>1846600840</v>
      </c>
      <c r="D1121">
        <f t="shared" si="17"/>
        <v>1825200540</v>
      </c>
    </row>
    <row r="1122" spans="1:4" ht="14" x14ac:dyDescent="0.15">
      <c r="A1122" s="322">
        <v>1825200550</v>
      </c>
      <c r="B1122" s="322" t="s">
        <v>860</v>
      </c>
      <c r="C1122">
        <v>1846600841</v>
      </c>
      <c r="D1122">
        <f t="shared" si="17"/>
        <v>1825200550</v>
      </c>
    </row>
    <row r="1123" spans="1:4" ht="14" x14ac:dyDescent="0.15">
      <c r="A1123" s="322">
        <v>1825200560</v>
      </c>
      <c r="B1123" s="322" t="s">
        <v>861</v>
      </c>
      <c r="C1123">
        <v>1846600843</v>
      </c>
      <c r="D1123">
        <f t="shared" si="17"/>
        <v>1825200560</v>
      </c>
    </row>
    <row r="1124" spans="1:4" ht="14" x14ac:dyDescent="0.15">
      <c r="A1124" s="322">
        <v>1825200570</v>
      </c>
      <c r="B1124" s="322" t="s">
        <v>1625</v>
      </c>
      <c r="C1124">
        <v>1846700210</v>
      </c>
      <c r="D1124">
        <f t="shared" si="17"/>
        <v>1825200570</v>
      </c>
    </row>
    <row r="1125" spans="1:4" ht="14" x14ac:dyDescent="0.15">
      <c r="A1125" s="322">
        <v>1825200581</v>
      </c>
      <c r="B1125" s="322" t="s">
        <v>1900</v>
      </c>
      <c r="C1125">
        <v>1846700840</v>
      </c>
      <c r="D1125">
        <f t="shared" si="17"/>
        <v>1825200581</v>
      </c>
    </row>
    <row r="1126" spans="1:4" ht="14" x14ac:dyDescent="0.15">
      <c r="A1126" s="322">
        <v>1825200720</v>
      </c>
      <c r="B1126" s="322" t="s">
        <v>862</v>
      </c>
      <c r="C1126">
        <v>1846700841</v>
      </c>
      <c r="D1126">
        <f t="shared" si="17"/>
        <v>1825200720</v>
      </c>
    </row>
    <row r="1127" spans="1:4" ht="14" x14ac:dyDescent="0.15">
      <c r="A1127" s="322">
        <v>1825200732</v>
      </c>
      <c r="B1127" s="322" t="s">
        <v>863</v>
      </c>
      <c r="C1127">
        <v>1846700843</v>
      </c>
      <c r="D1127">
        <f t="shared" si="17"/>
        <v>1825200732</v>
      </c>
    </row>
    <row r="1128" spans="1:4" ht="14" x14ac:dyDescent="0.15">
      <c r="A1128" s="322">
        <v>1825200740</v>
      </c>
      <c r="B1128" s="322" t="s">
        <v>737</v>
      </c>
      <c r="C1128">
        <v>1846700844</v>
      </c>
      <c r="D1128">
        <f t="shared" si="17"/>
        <v>1825200740</v>
      </c>
    </row>
    <row r="1129" spans="1:4" ht="14" x14ac:dyDescent="0.15">
      <c r="A1129" s="322">
        <v>1825200750</v>
      </c>
      <c r="B1129" s="322" t="s">
        <v>864</v>
      </c>
      <c r="C1129">
        <v>1846700846</v>
      </c>
      <c r="D1129">
        <f t="shared" si="17"/>
        <v>1825200750</v>
      </c>
    </row>
    <row r="1130" spans="1:4" ht="14" x14ac:dyDescent="0.15">
      <c r="A1130" s="322">
        <v>1825200760</v>
      </c>
      <c r="B1130" s="322" t="s">
        <v>1626</v>
      </c>
      <c r="C1130">
        <v>1846700848</v>
      </c>
      <c r="D1130">
        <f t="shared" si="17"/>
        <v>1825200760</v>
      </c>
    </row>
    <row r="1131" spans="1:4" ht="14" x14ac:dyDescent="0.15">
      <c r="A1131" s="322">
        <v>1825200780</v>
      </c>
      <c r="B1131" s="322" t="s">
        <v>865</v>
      </c>
      <c r="C1131">
        <v>1846700849</v>
      </c>
      <c r="D1131">
        <f t="shared" si="17"/>
        <v>1825200780</v>
      </c>
    </row>
    <row r="1132" spans="1:4" ht="14" x14ac:dyDescent="0.15">
      <c r="A1132" s="322">
        <v>1825200785</v>
      </c>
      <c r="B1132" s="322" t="s">
        <v>866</v>
      </c>
      <c r="C1132">
        <v>1846800842</v>
      </c>
      <c r="D1132" t="e">
        <f t="shared" si="17"/>
        <v>#N/A</v>
      </c>
    </row>
    <row r="1133" spans="1:4" ht="14" x14ac:dyDescent="0.15">
      <c r="A1133" s="322">
        <v>1825200786</v>
      </c>
      <c r="B1133" s="322" t="s">
        <v>867</v>
      </c>
      <c r="C1133">
        <v>1846800843</v>
      </c>
      <c r="D1133">
        <f t="shared" si="17"/>
        <v>1825200786</v>
      </c>
    </row>
    <row r="1134" spans="1:4" ht="14" x14ac:dyDescent="0.15">
      <c r="A1134" s="322">
        <v>1825200910</v>
      </c>
      <c r="B1134" s="322" t="s">
        <v>84</v>
      </c>
      <c r="C1134">
        <v>1846800844</v>
      </c>
      <c r="D1134" t="e">
        <f t="shared" si="17"/>
        <v>#N/A</v>
      </c>
    </row>
    <row r="1135" spans="1:4" ht="14" x14ac:dyDescent="0.15">
      <c r="A1135" s="322">
        <v>1825200930</v>
      </c>
      <c r="B1135" s="322" t="s">
        <v>868</v>
      </c>
      <c r="C1135">
        <v>1846800846</v>
      </c>
      <c r="D1135">
        <f t="shared" si="17"/>
        <v>1825200930</v>
      </c>
    </row>
    <row r="1136" spans="1:4" ht="14" x14ac:dyDescent="0.15">
      <c r="A1136" s="322">
        <v>1826200430</v>
      </c>
      <c r="B1136" s="322" t="s">
        <v>869</v>
      </c>
      <c r="C1136">
        <v>1846800848</v>
      </c>
      <c r="D1136" t="e">
        <f t="shared" si="17"/>
        <v>#N/A</v>
      </c>
    </row>
    <row r="1137" spans="1:4" ht="14" x14ac:dyDescent="0.15">
      <c r="A1137" s="322">
        <v>1826200830</v>
      </c>
      <c r="B1137" s="322" t="s">
        <v>872</v>
      </c>
      <c r="C1137">
        <v>1846800850</v>
      </c>
      <c r="D1137">
        <f t="shared" si="17"/>
        <v>1826200830</v>
      </c>
    </row>
    <row r="1138" spans="1:4" ht="14" x14ac:dyDescent="0.15">
      <c r="A1138" s="322">
        <v>1826400410</v>
      </c>
      <c r="B1138" s="322" t="s">
        <v>873</v>
      </c>
      <c r="C1138">
        <v>1846900780</v>
      </c>
      <c r="D1138">
        <f t="shared" si="17"/>
        <v>1826400410</v>
      </c>
    </row>
    <row r="1139" spans="1:4" ht="14" x14ac:dyDescent="0.15">
      <c r="A1139" s="322">
        <v>1826400430</v>
      </c>
      <c r="B1139" s="322" t="s">
        <v>874</v>
      </c>
      <c r="C1139">
        <v>1847100110</v>
      </c>
      <c r="D1139">
        <f t="shared" si="17"/>
        <v>1826400430</v>
      </c>
    </row>
    <row r="1140" spans="1:4" ht="14" x14ac:dyDescent="0.15">
      <c r="A1140" s="322">
        <v>1826400540</v>
      </c>
      <c r="B1140" s="322" t="s">
        <v>875</v>
      </c>
      <c r="C1140">
        <v>1847100210</v>
      </c>
      <c r="D1140">
        <f t="shared" si="17"/>
        <v>1826400540</v>
      </c>
    </row>
    <row r="1141" spans="1:4" ht="14" x14ac:dyDescent="0.15">
      <c r="A1141" s="322">
        <v>1826500581</v>
      </c>
      <c r="B1141" s="322" t="s">
        <v>1902</v>
      </c>
      <c r="C1141">
        <v>1847100841</v>
      </c>
      <c r="D1141">
        <f t="shared" si="17"/>
        <v>1826500581</v>
      </c>
    </row>
    <row r="1142" spans="1:4" ht="14" x14ac:dyDescent="0.15">
      <c r="A1142" s="322">
        <v>1826500780</v>
      </c>
      <c r="B1142" s="322" t="s">
        <v>876</v>
      </c>
      <c r="C1142">
        <v>1847100843</v>
      </c>
      <c r="D1142">
        <f t="shared" si="17"/>
        <v>1826500780</v>
      </c>
    </row>
    <row r="1143" spans="1:4" ht="14" x14ac:dyDescent="0.15">
      <c r="A1143" s="322">
        <v>1829200750</v>
      </c>
      <c r="B1143" s="322" t="s">
        <v>878</v>
      </c>
      <c r="C1143">
        <v>1847100845</v>
      </c>
      <c r="D1143">
        <f t="shared" si="17"/>
        <v>1829200750</v>
      </c>
    </row>
    <row r="1144" spans="1:4" ht="14" x14ac:dyDescent="0.15">
      <c r="A1144" s="322">
        <v>1829200751</v>
      </c>
      <c r="B1144" s="322" t="s">
        <v>1545</v>
      </c>
      <c r="C1144">
        <v>1847100846</v>
      </c>
      <c r="D1144">
        <f t="shared" si="17"/>
        <v>1829200751</v>
      </c>
    </row>
    <row r="1145" spans="1:4" ht="14" x14ac:dyDescent="0.15">
      <c r="A1145" s="322">
        <v>1829300110</v>
      </c>
      <c r="B1145" s="322" t="s">
        <v>536</v>
      </c>
      <c r="C1145">
        <v>1847100849</v>
      </c>
      <c r="D1145">
        <f t="shared" si="17"/>
        <v>1829300110</v>
      </c>
    </row>
    <row r="1146" spans="1:4" ht="14" x14ac:dyDescent="0.15">
      <c r="A1146" s="322">
        <v>1829300210</v>
      </c>
      <c r="B1146" s="322" t="s">
        <v>251</v>
      </c>
      <c r="C1146">
        <v>1847100852</v>
      </c>
      <c r="D1146">
        <f t="shared" si="17"/>
        <v>1829300210</v>
      </c>
    </row>
    <row r="1147" spans="1:4" ht="14" x14ac:dyDescent="0.15">
      <c r="A1147" s="322">
        <v>1829900110</v>
      </c>
      <c r="B1147" s="322" t="s">
        <v>537</v>
      </c>
      <c r="C1147">
        <v>1847100854</v>
      </c>
      <c r="D1147">
        <f t="shared" si="17"/>
        <v>1829900110</v>
      </c>
    </row>
    <row r="1148" spans="1:4" ht="14" x14ac:dyDescent="0.15">
      <c r="A1148" s="322">
        <v>1829900430</v>
      </c>
      <c r="B1148" s="322" t="s">
        <v>1154</v>
      </c>
      <c r="C1148">
        <v>1847110842</v>
      </c>
      <c r="D1148">
        <f t="shared" si="17"/>
        <v>1829900430</v>
      </c>
    </row>
    <row r="1149" spans="1:4" ht="14" x14ac:dyDescent="0.15">
      <c r="A1149" s="322">
        <v>1829900431</v>
      </c>
      <c r="B1149" s="322" t="s">
        <v>1546</v>
      </c>
      <c r="C1149">
        <v>1847300840</v>
      </c>
      <c r="D1149">
        <f t="shared" si="17"/>
        <v>1829900431</v>
      </c>
    </row>
    <row r="1150" spans="1:4" ht="14" x14ac:dyDescent="0.15">
      <c r="A1150" s="322">
        <v>1829900750</v>
      </c>
      <c r="B1150" s="322" t="s">
        <v>879</v>
      </c>
      <c r="C1150">
        <v>1847300846</v>
      </c>
      <c r="D1150">
        <f t="shared" si="17"/>
        <v>1829900750</v>
      </c>
    </row>
    <row r="1151" spans="1:4" ht="14" x14ac:dyDescent="0.15">
      <c r="A1151" s="322">
        <v>1829900751</v>
      </c>
      <c r="B1151" s="322" t="s">
        <v>1488</v>
      </c>
      <c r="C1151">
        <v>1847300847</v>
      </c>
      <c r="D1151">
        <f t="shared" si="17"/>
        <v>1829900751</v>
      </c>
    </row>
    <row r="1152" spans="1:4" ht="14" x14ac:dyDescent="0.15">
      <c r="A1152" s="322">
        <v>1829900810</v>
      </c>
      <c r="B1152" s="322" t="s">
        <v>794</v>
      </c>
      <c r="C1152">
        <v>1847300848</v>
      </c>
      <c r="D1152">
        <f t="shared" si="17"/>
        <v>1829900810</v>
      </c>
    </row>
    <row r="1153" spans="1:4" ht="14" x14ac:dyDescent="0.15">
      <c r="A1153" s="322">
        <v>1829900811</v>
      </c>
      <c r="B1153" s="322" t="s">
        <v>880</v>
      </c>
      <c r="C1153">
        <v>1847400422</v>
      </c>
      <c r="D1153">
        <f t="shared" si="17"/>
        <v>1829900811</v>
      </c>
    </row>
    <row r="1154" spans="1:4" ht="14" x14ac:dyDescent="0.15">
      <c r="A1154" s="322">
        <v>1829900910</v>
      </c>
      <c r="B1154" s="322" t="s">
        <v>881</v>
      </c>
      <c r="C1154">
        <v>1847400540</v>
      </c>
      <c r="D1154">
        <f t="shared" si="17"/>
        <v>1829900910</v>
      </c>
    </row>
    <row r="1155" spans="1:4" ht="14" x14ac:dyDescent="0.15">
      <c r="A1155" s="322">
        <v>1829910810</v>
      </c>
      <c r="B1155" s="322" t="s">
        <v>882</v>
      </c>
      <c r="C1155">
        <v>1847400560</v>
      </c>
      <c r="D1155">
        <f t="shared" si="17"/>
        <v>1829910810</v>
      </c>
    </row>
    <row r="1156" spans="1:4" ht="14" x14ac:dyDescent="0.15">
      <c r="A1156" s="322">
        <v>1836100810</v>
      </c>
      <c r="B1156" s="322" t="s">
        <v>883</v>
      </c>
      <c r="C1156">
        <v>1847400720</v>
      </c>
      <c r="D1156">
        <f t="shared" ref="D1156:D1219" si="18">VLOOKUP(A1156,$C$3:$C$1296,1,FALSE)</f>
        <v>1836100810</v>
      </c>
    </row>
    <row r="1157" spans="1:4" ht="14" x14ac:dyDescent="0.15">
      <c r="A1157" s="322">
        <v>1840000910</v>
      </c>
      <c r="B1157" s="322" t="s">
        <v>741</v>
      </c>
      <c r="C1157">
        <v>1847400840</v>
      </c>
      <c r="D1157">
        <f t="shared" si="18"/>
        <v>1840000910</v>
      </c>
    </row>
    <row r="1158" spans="1:4" ht="14" x14ac:dyDescent="0.15">
      <c r="A1158" s="322">
        <v>1840000981</v>
      </c>
      <c r="B1158" s="322" t="s">
        <v>74</v>
      </c>
      <c r="C1158">
        <v>1847400841</v>
      </c>
      <c r="D1158" t="e">
        <f t="shared" si="18"/>
        <v>#N/A</v>
      </c>
    </row>
    <row r="1159" spans="1:4" ht="14" x14ac:dyDescent="0.15">
      <c r="A1159" s="322">
        <v>1841000110</v>
      </c>
      <c r="B1159" s="322" t="s">
        <v>401</v>
      </c>
      <c r="C1159">
        <v>1847400843</v>
      </c>
      <c r="D1159">
        <f t="shared" si="18"/>
        <v>1841000110</v>
      </c>
    </row>
    <row r="1160" spans="1:4" ht="14" x14ac:dyDescent="0.15">
      <c r="A1160" s="322">
        <v>1841000210</v>
      </c>
      <c r="B1160" s="322" t="s">
        <v>1011</v>
      </c>
      <c r="C1160">
        <v>1847400844</v>
      </c>
      <c r="D1160">
        <f t="shared" si="18"/>
        <v>1841000210</v>
      </c>
    </row>
    <row r="1161" spans="1:4" ht="14" x14ac:dyDescent="0.15">
      <c r="A1161" s="322">
        <v>1841000511</v>
      </c>
      <c r="B1161" s="322" t="s">
        <v>790</v>
      </c>
      <c r="C1161">
        <v>1847400845</v>
      </c>
      <c r="D1161">
        <f t="shared" si="18"/>
        <v>1841000511</v>
      </c>
    </row>
    <row r="1162" spans="1:4" ht="14" x14ac:dyDescent="0.15">
      <c r="A1162" s="322">
        <v>1841000512</v>
      </c>
      <c r="B1162" s="322" t="s">
        <v>183</v>
      </c>
      <c r="C1162">
        <v>1847401110</v>
      </c>
      <c r="D1162">
        <f t="shared" si="18"/>
        <v>1841000512</v>
      </c>
    </row>
    <row r="1163" spans="1:4" ht="14" x14ac:dyDescent="0.15">
      <c r="A1163" s="324">
        <v>1841000540</v>
      </c>
      <c r="B1163" s="322" t="s">
        <v>184</v>
      </c>
      <c r="C1163">
        <v>1847402110</v>
      </c>
      <c r="D1163" t="e">
        <f t="shared" si="18"/>
        <v>#N/A</v>
      </c>
    </row>
    <row r="1164" spans="1:4" ht="14" x14ac:dyDescent="0.15">
      <c r="A1164" s="322">
        <v>1841000560</v>
      </c>
      <c r="B1164" s="322" t="s">
        <v>966</v>
      </c>
      <c r="C1164">
        <v>1847404110</v>
      </c>
      <c r="D1164">
        <f t="shared" si="18"/>
        <v>1841000560</v>
      </c>
    </row>
    <row r="1165" spans="1:4" ht="14" x14ac:dyDescent="0.15">
      <c r="A1165" s="322">
        <v>1841000570</v>
      </c>
      <c r="B1165" s="322" t="s">
        <v>1023</v>
      </c>
      <c r="C1165">
        <v>1847411110</v>
      </c>
      <c r="D1165">
        <f t="shared" si="18"/>
        <v>1841000570</v>
      </c>
    </row>
    <row r="1166" spans="1:4" ht="14" x14ac:dyDescent="0.15">
      <c r="A1166" s="322">
        <v>1841000571</v>
      </c>
      <c r="B1166" s="322" t="s">
        <v>590</v>
      </c>
      <c r="C1166">
        <v>1847411210</v>
      </c>
      <c r="D1166">
        <f t="shared" si="18"/>
        <v>1841000571</v>
      </c>
    </row>
    <row r="1167" spans="1:4" ht="14" x14ac:dyDescent="0.15">
      <c r="A1167" s="322">
        <v>1841000580</v>
      </c>
      <c r="B1167" s="322" t="s">
        <v>835</v>
      </c>
      <c r="C1167">
        <v>1847411750</v>
      </c>
      <c r="D1167">
        <f t="shared" si="18"/>
        <v>1841000580</v>
      </c>
    </row>
    <row r="1168" spans="1:4" ht="14" x14ac:dyDescent="0.15">
      <c r="A1168" s="322">
        <v>1841000581</v>
      </c>
      <c r="B1168" s="322" t="s">
        <v>1905</v>
      </c>
      <c r="C1168">
        <v>1847428110</v>
      </c>
      <c r="D1168">
        <f t="shared" si="18"/>
        <v>1841000581</v>
      </c>
    </row>
    <row r="1169" spans="1:4" ht="14" x14ac:dyDescent="0.15">
      <c r="A1169" s="322">
        <v>1841000750</v>
      </c>
      <c r="B1169" s="322" t="s">
        <v>1024</v>
      </c>
      <c r="C1169">
        <v>1848200841</v>
      </c>
      <c r="D1169">
        <f t="shared" si="18"/>
        <v>1841000750</v>
      </c>
    </row>
    <row r="1170" spans="1:4" ht="14" x14ac:dyDescent="0.15">
      <c r="A1170" s="322">
        <v>1841000780</v>
      </c>
      <c r="B1170" s="322" t="s">
        <v>1046</v>
      </c>
      <c r="C1170">
        <v>1848200847</v>
      </c>
      <c r="D1170">
        <f t="shared" si="18"/>
        <v>1841000780</v>
      </c>
    </row>
    <row r="1171" spans="1:4" ht="14" x14ac:dyDescent="0.15">
      <c r="A1171" s="324">
        <v>1841000781</v>
      </c>
      <c r="B1171" s="322" t="s">
        <v>2166</v>
      </c>
      <c r="C1171">
        <v>1848300580</v>
      </c>
      <c r="D1171" t="e">
        <f t="shared" si="18"/>
        <v>#N/A</v>
      </c>
    </row>
    <row r="1172" spans="1:4" ht="14" x14ac:dyDescent="0.15">
      <c r="A1172" s="322">
        <v>1841000843</v>
      </c>
      <c r="B1172" s="322" t="s">
        <v>402</v>
      </c>
      <c r="C1172">
        <v>1848300840</v>
      </c>
      <c r="D1172">
        <f t="shared" si="18"/>
        <v>1841000843</v>
      </c>
    </row>
    <row r="1173" spans="1:4" ht="14" x14ac:dyDescent="0.15">
      <c r="A1173" s="322">
        <v>1841000845</v>
      </c>
      <c r="B1173" s="322" t="s">
        <v>1404</v>
      </c>
      <c r="C1173">
        <v>1848400840</v>
      </c>
      <c r="D1173" t="e">
        <f t="shared" si="18"/>
        <v>#N/A</v>
      </c>
    </row>
    <row r="1174" spans="1:4" ht="14" x14ac:dyDescent="0.15">
      <c r="A1174" s="322">
        <v>1841000846</v>
      </c>
      <c r="B1174" s="322" t="s">
        <v>404</v>
      </c>
      <c r="C1174">
        <v>1848500840</v>
      </c>
      <c r="D1174">
        <f t="shared" si="18"/>
        <v>1841000846</v>
      </c>
    </row>
    <row r="1175" spans="1:4" ht="14" x14ac:dyDescent="0.15">
      <c r="A1175" s="322">
        <v>1841000910</v>
      </c>
      <c r="B1175" s="322" t="s">
        <v>704</v>
      </c>
      <c r="C1175">
        <v>1848800110</v>
      </c>
      <c r="D1175">
        <f t="shared" si="18"/>
        <v>1841000910</v>
      </c>
    </row>
    <row r="1176" spans="1:4" ht="14" x14ac:dyDescent="0.15">
      <c r="A1176" s="322">
        <v>1841000980</v>
      </c>
      <c r="B1176" s="322" t="s">
        <v>652</v>
      </c>
      <c r="C1176">
        <v>1848800780</v>
      </c>
      <c r="D1176">
        <f t="shared" si="18"/>
        <v>1841000980</v>
      </c>
    </row>
    <row r="1177" spans="1:4" ht="14" x14ac:dyDescent="0.15">
      <c r="A1177" s="322">
        <v>1841000981</v>
      </c>
      <c r="B1177" s="322" t="s">
        <v>1463</v>
      </c>
      <c r="C1177">
        <v>1848801210</v>
      </c>
      <c r="D1177">
        <f t="shared" si="18"/>
        <v>1841000981</v>
      </c>
    </row>
    <row r="1178" spans="1:4" ht="14" x14ac:dyDescent="0.15">
      <c r="A1178" s="322">
        <v>1841000982</v>
      </c>
      <c r="B1178" s="322" t="s">
        <v>1486</v>
      </c>
      <c r="C1178">
        <v>1848801750</v>
      </c>
      <c r="D1178" t="e">
        <f t="shared" si="18"/>
        <v>#N/A</v>
      </c>
    </row>
    <row r="1179" spans="1:4" ht="14" x14ac:dyDescent="0.15">
      <c r="A1179" s="322">
        <v>1841100750</v>
      </c>
      <c r="B1179" s="322" t="s">
        <v>714</v>
      </c>
      <c r="C1179">
        <v>1849000840</v>
      </c>
      <c r="D1179">
        <f t="shared" si="18"/>
        <v>1841100750</v>
      </c>
    </row>
    <row r="1180" spans="1:4" ht="14" x14ac:dyDescent="0.15">
      <c r="A1180" s="322">
        <v>1842200840</v>
      </c>
      <c r="B1180" s="322" t="s">
        <v>406</v>
      </c>
      <c r="C1180">
        <v>1849000842</v>
      </c>
      <c r="D1180">
        <f t="shared" si="18"/>
        <v>1842200840</v>
      </c>
    </row>
    <row r="1181" spans="1:4" ht="14" x14ac:dyDescent="0.15">
      <c r="A1181" s="322">
        <v>1842200843</v>
      </c>
      <c r="B1181" s="322" t="s">
        <v>407</v>
      </c>
      <c r="C1181">
        <v>1849000843</v>
      </c>
      <c r="D1181">
        <f t="shared" si="18"/>
        <v>1842200843</v>
      </c>
    </row>
    <row r="1182" spans="1:4" ht="14" x14ac:dyDescent="0.15">
      <c r="A1182" s="322">
        <v>1842200844</v>
      </c>
      <c r="B1182" s="322" t="s">
        <v>1026</v>
      </c>
      <c r="C1182">
        <v>1849000844</v>
      </c>
      <c r="D1182">
        <f t="shared" si="18"/>
        <v>1842200844</v>
      </c>
    </row>
    <row r="1183" spans="1:4" ht="14" x14ac:dyDescent="0.15">
      <c r="A1183" s="322">
        <v>1842200846</v>
      </c>
      <c r="B1183" s="322" t="s">
        <v>409</v>
      </c>
      <c r="C1183">
        <v>1849000845</v>
      </c>
      <c r="D1183">
        <f t="shared" si="18"/>
        <v>1842200846</v>
      </c>
    </row>
    <row r="1184" spans="1:4" ht="14" x14ac:dyDescent="0.15">
      <c r="A1184" s="322">
        <v>1842200847</v>
      </c>
      <c r="B1184" s="322" t="s">
        <v>1485</v>
      </c>
      <c r="C1184">
        <v>1849000851</v>
      </c>
      <c r="D1184">
        <f t="shared" si="18"/>
        <v>1842200847</v>
      </c>
    </row>
    <row r="1185" spans="1:4" ht="14" x14ac:dyDescent="0.15">
      <c r="A1185" s="322">
        <v>1842400110</v>
      </c>
      <c r="B1185" s="322" t="s">
        <v>1653</v>
      </c>
      <c r="C1185">
        <v>1849001841</v>
      </c>
      <c r="D1185">
        <f t="shared" si="18"/>
        <v>1842400110</v>
      </c>
    </row>
    <row r="1186" spans="1:4" ht="14" x14ac:dyDescent="0.15">
      <c r="A1186" s="322">
        <v>1842400841</v>
      </c>
      <c r="B1186" s="322" t="s">
        <v>410</v>
      </c>
      <c r="C1186">
        <v>1849001844</v>
      </c>
      <c r="D1186">
        <f t="shared" si="18"/>
        <v>1842400841</v>
      </c>
    </row>
    <row r="1187" spans="1:4" ht="14" x14ac:dyDescent="0.15">
      <c r="A1187" s="322">
        <v>1842400844</v>
      </c>
      <c r="B1187" s="322" t="s">
        <v>1027</v>
      </c>
      <c r="C1187">
        <v>1849001847</v>
      </c>
      <c r="D1187">
        <f t="shared" si="18"/>
        <v>1842400844</v>
      </c>
    </row>
    <row r="1188" spans="1:4" ht="14" x14ac:dyDescent="0.15">
      <c r="A1188" s="322">
        <v>1842400845</v>
      </c>
      <c r="B1188" s="322" t="s">
        <v>411</v>
      </c>
      <c r="C1188">
        <v>1849001849</v>
      </c>
      <c r="D1188">
        <f t="shared" si="18"/>
        <v>1842400845</v>
      </c>
    </row>
    <row r="1189" spans="1:4" ht="14" x14ac:dyDescent="0.15">
      <c r="A1189" s="324">
        <v>1842400846</v>
      </c>
      <c r="B1189" s="322" t="s">
        <v>1408</v>
      </c>
      <c r="C1189">
        <v>1849300840</v>
      </c>
      <c r="D1189" t="e">
        <f t="shared" si="18"/>
        <v>#N/A</v>
      </c>
    </row>
    <row r="1190" spans="1:4" ht="14" x14ac:dyDescent="0.15">
      <c r="A1190" s="322">
        <v>1842400847</v>
      </c>
      <c r="B1190" s="322" t="s">
        <v>1592</v>
      </c>
      <c r="C1190" s="182"/>
      <c r="D1190">
        <f t="shared" si="18"/>
        <v>1842400847</v>
      </c>
    </row>
    <row r="1191" spans="1:4" ht="14" x14ac:dyDescent="0.15">
      <c r="A1191" s="322">
        <v>1842401840</v>
      </c>
      <c r="B1191" s="322" t="s">
        <v>412</v>
      </c>
      <c r="C1191" s="182"/>
      <c r="D1191">
        <f t="shared" si="18"/>
        <v>1842401840</v>
      </c>
    </row>
    <row r="1192" spans="1:4" ht="14" x14ac:dyDescent="0.15">
      <c r="A1192" s="322">
        <v>1842401841</v>
      </c>
      <c r="B1192" s="322" t="s">
        <v>1652</v>
      </c>
      <c r="C1192">
        <v>1851000750</v>
      </c>
      <c r="D1192">
        <f t="shared" si="18"/>
        <v>1842401841</v>
      </c>
    </row>
    <row r="1193" spans="1:4" ht="14" x14ac:dyDescent="0.15">
      <c r="A1193" s="322">
        <v>1842410110</v>
      </c>
      <c r="B1193" s="322" t="s">
        <v>1906</v>
      </c>
      <c r="C1193">
        <v>1851000780</v>
      </c>
      <c r="D1193">
        <f t="shared" si="18"/>
        <v>1842410110</v>
      </c>
    </row>
    <row r="1194" spans="1:4" ht="14" x14ac:dyDescent="0.15">
      <c r="A1194" s="322">
        <v>1843500210</v>
      </c>
      <c r="B1194" s="322" t="s">
        <v>1483</v>
      </c>
      <c r="C1194">
        <v>1851000810</v>
      </c>
      <c r="D1194">
        <f t="shared" si="18"/>
        <v>1843500210</v>
      </c>
    </row>
    <row r="1195" spans="1:4" ht="14" x14ac:dyDescent="0.15">
      <c r="A1195" s="322">
        <v>1843500840</v>
      </c>
      <c r="B1195" s="322" t="s">
        <v>85</v>
      </c>
      <c r="C1195">
        <v>1851000910</v>
      </c>
      <c r="D1195">
        <f t="shared" si="18"/>
        <v>1843500840</v>
      </c>
    </row>
    <row r="1196" spans="1:4" ht="14" x14ac:dyDescent="0.15">
      <c r="A1196" s="322">
        <v>1843500841</v>
      </c>
      <c r="B1196" s="322" t="s">
        <v>413</v>
      </c>
      <c r="C1196" s="182"/>
      <c r="D1196">
        <f t="shared" si="18"/>
        <v>1843500841</v>
      </c>
    </row>
    <row r="1197" spans="1:4" ht="14" x14ac:dyDescent="0.15">
      <c r="A1197" s="322">
        <v>1843500842</v>
      </c>
      <c r="B1197" s="322" t="s">
        <v>414</v>
      </c>
      <c r="C1197" s="182"/>
      <c r="D1197">
        <f t="shared" si="18"/>
        <v>1843500842</v>
      </c>
    </row>
    <row r="1198" spans="1:4" ht="14" x14ac:dyDescent="0.15">
      <c r="A1198" s="322">
        <v>1843500844</v>
      </c>
      <c r="B1198" s="322" t="s">
        <v>415</v>
      </c>
      <c r="C1198">
        <v>1860000410</v>
      </c>
      <c r="D1198">
        <f t="shared" si="18"/>
        <v>1843500844</v>
      </c>
    </row>
    <row r="1199" spans="1:4" ht="14" x14ac:dyDescent="0.15">
      <c r="A1199" s="322">
        <v>1843500845</v>
      </c>
      <c r="B1199" s="322" t="s">
        <v>416</v>
      </c>
      <c r="C1199">
        <v>1860000470</v>
      </c>
      <c r="D1199">
        <f t="shared" si="18"/>
        <v>1843500845</v>
      </c>
    </row>
    <row r="1200" spans="1:4" ht="14" x14ac:dyDescent="0.15">
      <c r="A1200" s="322">
        <v>1843500847</v>
      </c>
      <c r="B1200" s="322" t="s">
        <v>417</v>
      </c>
      <c r="C1200">
        <v>1860000511</v>
      </c>
      <c r="D1200">
        <f t="shared" si="18"/>
        <v>1843500847</v>
      </c>
    </row>
    <row r="1201" spans="1:4" ht="14" x14ac:dyDescent="0.15">
      <c r="A1201" s="322">
        <v>1843500849</v>
      </c>
      <c r="B1201" s="322" t="s">
        <v>418</v>
      </c>
      <c r="C1201">
        <v>1860000540</v>
      </c>
      <c r="D1201">
        <f t="shared" si="18"/>
        <v>1843500849</v>
      </c>
    </row>
    <row r="1202" spans="1:4" ht="14" x14ac:dyDescent="0.15">
      <c r="A1202" s="322">
        <v>1843500850</v>
      </c>
      <c r="B1202" s="322" t="s">
        <v>58</v>
      </c>
      <c r="C1202">
        <v>1860000581</v>
      </c>
      <c r="D1202">
        <f t="shared" si="18"/>
        <v>1843500850</v>
      </c>
    </row>
    <row r="1203" spans="1:4" ht="14" x14ac:dyDescent="0.15">
      <c r="A1203" s="322">
        <v>1843500851</v>
      </c>
      <c r="B1203" s="322" t="s">
        <v>1593</v>
      </c>
      <c r="C1203">
        <v>1860000780</v>
      </c>
      <c r="D1203">
        <f t="shared" si="18"/>
        <v>1843500851</v>
      </c>
    </row>
    <row r="1204" spans="1:4" ht="14" x14ac:dyDescent="0.15">
      <c r="A1204" s="322">
        <v>1843510110</v>
      </c>
      <c r="B1204" s="322" t="s">
        <v>1659</v>
      </c>
      <c r="C1204">
        <v>1860000910</v>
      </c>
      <c r="D1204">
        <f t="shared" si="18"/>
        <v>1843510110</v>
      </c>
    </row>
    <row r="1205" spans="1:4" ht="14" x14ac:dyDescent="0.15">
      <c r="A1205" s="322">
        <v>1843800110</v>
      </c>
      <c r="B1205" s="322" t="s">
        <v>1658</v>
      </c>
      <c r="C1205">
        <v>1869000110</v>
      </c>
      <c r="D1205">
        <f t="shared" si="18"/>
        <v>1843800110</v>
      </c>
    </row>
    <row r="1206" spans="1:4" ht="14" x14ac:dyDescent="0.15">
      <c r="A1206" s="322">
        <v>1843800840</v>
      </c>
      <c r="B1206" s="322" t="s">
        <v>419</v>
      </c>
      <c r="C1206" s="182"/>
      <c r="D1206">
        <f t="shared" si="18"/>
        <v>1843800840</v>
      </c>
    </row>
    <row r="1207" spans="1:4" ht="14" x14ac:dyDescent="0.15">
      <c r="A1207" s="322">
        <v>1843800842</v>
      </c>
      <c r="B1207" s="322" t="s">
        <v>190</v>
      </c>
      <c r="C1207" s="182"/>
      <c r="D1207">
        <f t="shared" si="18"/>
        <v>1843800842</v>
      </c>
    </row>
    <row r="1208" spans="1:4" ht="14" x14ac:dyDescent="0.15">
      <c r="A1208" s="322">
        <v>1843800845</v>
      </c>
      <c r="B1208" s="322" t="s">
        <v>420</v>
      </c>
      <c r="C1208" s="182">
        <v>1879000810</v>
      </c>
      <c r="D1208">
        <f t="shared" si="18"/>
        <v>1843800845</v>
      </c>
    </row>
    <row r="1209" spans="1:4" ht="14" x14ac:dyDescent="0.15">
      <c r="A1209" s="322">
        <v>1843900840</v>
      </c>
      <c r="B1209" s="322" t="s">
        <v>421</v>
      </c>
      <c r="C1209" s="182"/>
      <c r="D1209">
        <f t="shared" si="18"/>
        <v>1843900840</v>
      </c>
    </row>
    <row r="1210" spans="1:4" ht="14" x14ac:dyDescent="0.15">
      <c r="A1210" s="322">
        <v>1844000430</v>
      </c>
      <c r="B1210" s="322" t="s">
        <v>1028</v>
      </c>
      <c r="C1210" s="182"/>
      <c r="D1210">
        <f t="shared" si="18"/>
        <v>1844000430</v>
      </c>
    </row>
    <row r="1211" spans="1:4" ht="14" x14ac:dyDescent="0.15">
      <c r="A1211" s="322">
        <v>1844300840</v>
      </c>
      <c r="B1211" s="322" t="s">
        <v>300</v>
      </c>
      <c r="C1211" s="182">
        <v>1913000110</v>
      </c>
      <c r="D1211">
        <f t="shared" si="18"/>
        <v>1844300840</v>
      </c>
    </row>
    <row r="1212" spans="1:4" ht="14" x14ac:dyDescent="0.15">
      <c r="A1212" s="322">
        <v>1844300842</v>
      </c>
      <c r="B1212" s="322" t="s">
        <v>59</v>
      </c>
      <c r="C1212" s="182"/>
      <c r="D1212">
        <f t="shared" si="18"/>
        <v>1844300842</v>
      </c>
    </row>
    <row r="1213" spans="1:4" ht="14" x14ac:dyDescent="0.15">
      <c r="A1213" s="322">
        <v>1844400780</v>
      </c>
      <c r="B1213" s="322" t="s">
        <v>1029</v>
      </c>
      <c r="C1213">
        <v>1931000110</v>
      </c>
      <c r="D1213">
        <f t="shared" si="18"/>
        <v>1844400780</v>
      </c>
    </row>
    <row r="1214" spans="1:4" ht="14" x14ac:dyDescent="0.15">
      <c r="A1214" s="322">
        <v>1844400840</v>
      </c>
      <c r="B1214" s="322" t="s">
        <v>1482</v>
      </c>
      <c r="C1214">
        <v>1931000511</v>
      </c>
      <c r="D1214">
        <f t="shared" si="18"/>
        <v>1844400840</v>
      </c>
    </row>
    <row r="1215" spans="1:4" ht="14" x14ac:dyDescent="0.15">
      <c r="A1215" s="322">
        <v>1844400841</v>
      </c>
      <c r="B1215" s="322" t="s">
        <v>422</v>
      </c>
      <c r="C1215">
        <v>1931000560</v>
      </c>
      <c r="D1215">
        <f t="shared" si="18"/>
        <v>1844400841</v>
      </c>
    </row>
    <row r="1216" spans="1:4" ht="14" x14ac:dyDescent="0.15">
      <c r="A1216" s="322">
        <v>1844400842</v>
      </c>
      <c r="B1216" s="322" t="s">
        <v>423</v>
      </c>
      <c r="C1216">
        <v>1931000581</v>
      </c>
      <c r="D1216">
        <f t="shared" si="18"/>
        <v>1844400842</v>
      </c>
    </row>
    <row r="1217" spans="1:4" ht="14" x14ac:dyDescent="0.15">
      <c r="A1217" s="322">
        <v>1844400843</v>
      </c>
      <c r="B1217" s="322" t="s">
        <v>1194</v>
      </c>
      <c r="C1217">
        <v>1931000750</v>
      </c>
      <c r="D1217" t="e">
        <f t="shared" si="18"/>
        <v>#N/A</v>
      </c>
    </row>
    <row r="1218" spans="1:4" ht="14" x14ac:dyDescent="0.15">
      <c r="A1218" s="322">
        <v>1844400844</v>
      </c>
      <c r="B1218" s="322" t="s">
        <v>193</v>
      </c>
      <c r="C1218">
        <v>1931000751</v>
      </c>
      <c r="D1218">
        <f t="shared" si="18"/>
        <v>1844400844</v>
      </c>
    </row>
    <row r="1219" spans="1:4" ht="14" x14ac:dyDescent="0.15">
      <c r="A1219" s="322">
        <v>1844400845</v>
      </c>
      <c r="B1219" s="322" t="s">
        <v>425</v>
      </c>
      <c r="C1219">
        <v>1931000930</v>
      </c>
      <c r="D1219">
        <f t="shared" si="18"/>
        <v>1844400845</v>
      </c>
    </row>
    <row r="1220" spans="1:4" ht="14" x14ac:dyDescent="0.15">
      <c r="A1220" s="322">
        <v>1844400846</v>
      </c>
      <c r="B1220" s="322" t="s">
        <v>60</v>
      </c>
      <c r="C1220">
        <v>1931000980</v>
      </c>
      <c r="D1220" t="e">
        <f t="shared" ref="D1220:D1283" si="19">VLOOKUP(A1220,$C$3:$C$1296,1,FALSE)</f>
        <v>#N/A</v>
      </c>
    </row>
    <row r="1221" spans="1:4" ht="14" x14ac:dyDescent="0.15">
      <c r="A1221" s="322">
        <v>1844400849</v>
      </c>
      <c r="B1221" s="322" t="s">
        <v>426</v>
      </c>
      <c r="C1221">
        <v>1937000110</v>
      </c>
      <c r="D1221">
        <f t="shared" si="19"/>
        <v>1844400849</v>
      </c>
    </row>
    <row r="1222" spans="1:4" ht="14" x14ac:dyDescent="0.15">
      <c r="A1222" s="324">
        <v>1844400852</v>
      </c>
      <c r="B1222" s="322" t="s">
        <v>1722</v>
      </c>
      <c r="C1222">
        <v>1937000430</v>
      </c>
      <c r="D1222" t="e">
        <f t="shared" si="19"/>
        <v>#N/A</v>
      </c>
    </row>
    <row r="1223" spans="1:4" ht="14" x14ac:dyDescent="0.15">
      <c r="A1223" s="322">
        <v>1844400853</v>
      </c>
      <c r="B1223" s="322" t="s">
        <v>1994</v>
      </c>
      <c r="C1223">
        <v>1937000780</v>
      </c>
      <c r="D1223">
        <f t="shared" si="19"/>
        <v>1844400853</v>
      </c>
    </row>
    <row r="1224" spans="1:4" ht="14" x14ac:dyDescent="0.15">
      <c r="A1224" s="324">
        <v>1844400854</v>
      </c>
      <c r="B1224" s="322" t="s">
        <v>2084</v>
      </c>
      <c r="C1224">
        <v>1938000110</v>
      </c>
      <c r="D1224" t="e">
        <f t="shared" si="19"/>
        <v>#N/A</v>
      </c>
    </row>
    <row r="1225" spans="1:4" ht="14" x14ac:dyDescent="0.15">
      <c r="A1225" s="322">
        <v>1844500840</v>
      </c>
      <c r="B1225" s="322" t="s">
        <v>427</v>
      </c>
      <c r="C1225">
        <v>1938000422</v>
      </c>
      <c r="D1225">
        <f t="shared" si="19"/>
        <v>1844500840</v>
      </c>
    </row>
    <row r="1226" spans="1:4" ht="14" x14ac:dyDescent="0.15">
      <c r="A1226" s="322">
        <v>1844500843</v>
      </c>
      <c r="B1226" s="322" t="s">
        <v>1650</v>
      </c>
      <c r="C1226">
        <v>1938000430</v>
      </c>
      <c r="D1226">
        <f t="shared" si="19"/>
        <v>1844500843</v>
      </c>
    </row>
    <row r="1227" spans="1:4" ht="14" x14ac:dyDescent="0.15">
      <c r="A1227" s="322">
        <v>1844500845</v>
      </c>
      <c r="B1227" s="322" t="s">
        <v>1649</v>
      </c>
      <c r="C1227">
        <v>1938000450</v>
      </c>
      <c r="D1227">
        <f t="shared" si="19"/>
        <v>1844500845</v>
      </c>
    </row>
    <row r="1228" spans="1:4" ht="14" x14ac:dyDescent="0.15">
      <c r="A1228" s="322">
        <v>1845100840</v>
      </c>
      <c r="B1228" s="322" t="s">
        <v>429</v>
      </c>
      <c r="C1228">
        <v>1938000511</v>
      </c>
      <c r="D1228" t="e">
        <f t="shared" si="19"/>
        <v>#N/A</v>
      </c>
    </row>
    <row r="1229" spans="1:4" ht="14" x14ac:dyDescent="0.15">
      <c r="A1229" s="322">
        <v>1845100841</v>
      </c>
      <c r="B1229" s="322" t="s">
        <v>430</v>
      </c>
      <c r="C1229">
        <v>1938000530</v>
      </c>
      <c r="D1229" t="e">
        <f t="shared" si="19"/>
        <v>#N/A</v>
      </c>
    </row>
    <row r="1230" spans="1:4" ht="14" x14ac:dyDescent="0.15">
      <c r="A1230" s="322">
        <v>1845100842</v>
      </c>
      <c r="B1230" s="322" t="s">
        <v>431</v>
      </c>
      <c r="C1230">
        <v>1938000540</v>
      </c>
      <c r="D1230">
        <f t="shared" si="19"/>
        <v>1845100842</v>
      </c>
    </row>
    <row r="1231" spans="1:4" ht="14" x14ac:dyDescent="0.15">
      <c r="A1231" s="322">
        <v>1845100843</v>
      </c>
      <c r="B1231" s="322" t="s">
        <v>432</v>
      </c>
      <c r="C1231">
        <v>1938000560</v>
      </c>
      <c r="D1231">
        <f t="shared" si="19"/>
        <v>1845100843</v>
      </c>
    </row>
    <row r="1232" spans="1:4" ht="14" x14ac:dyDescent="0.15">
      <c r="A1232" s="322">
        <v>1845100844</v>
      </c>
      <c r="B1232" s="322" t="s">
        <v>1196</v>
      </c>
      <c r="C1232">
        <v>1938000570</v>
      </c>
      <c r="D1232">
        <f t="shared" si="19"/>
        <v>1845100844</v>
      </c>
    </row>
    <row r="1233" spans="1:4" ht="14" x14ac:dyDescent="0.15">
      <c r="A1233" s="322">
        <v>1845100845</v>
      </c>
      <c r="B1233" s="322" t="s">
        <v>433</v>
      </c>
      <c r="C1233">
        <v>1938000571</v>
      </c>
      <c r="D1233">
        <f t="shared" si="19"/>
        <v>1845100845</v>
      </c>
    </row>
    <row r="1234" spans="1:4" ht="14" x14ac:dyDescent="0.15">
      <c r="A1234" s="322">
        <v>1845100846</v>
      </c>
      <c r="B1234" s="322" t="s">
        <v>434</v>
      </c>
      <c r="C1234">
        <v>1938000581</v>
      </c>
      <c r="D1234">
        <f t="shared" si="19"/>
        <v>1845100846</v>
      </c>
    </row>
    <row r="1235" spans="1:4" ht="14" x14ac:dyDescent="0.15">
      <c r="A1235" s="322">
        <v>1845100847</v>
      </c>
      <c r="B1235" s="322" t="s">
        <v>94</v>
      </c>
      <c r="C1235">
        <v>1938000740</v>
      </c>
      <c r="D1235" t="e">
        <f t="shared" si="19"/>
        <v>#N/A</v>
      </c>
    </row>
    <row r="1236" spans="1:4" ht="14" x14ac:dyDescent="0.15">
      <c r="A1236" s="322">
        <v>1845100848</v>
      </c>
      <c r="B1236" s="322" t="s">
        <v>1412</v>
      </c>
      <c r="C1236">
        <v>1938000750</v>
      </c>
      <c r="D1236">
        <f t="shared" si="19"/>
        <v>1845100848</v>
      </c>
    </row>
    <row r="1237" spans="1:4" ht="14" x14ac:dyDescent="0.15">
      <c r="A1237" s="322">
        <v>1845100849</v>
      </c>
      <c r="B1237" s="322" t="s">
        <v>1413</v>
      </c>
      <c r="C1237">
        <v>1938000751</v>
      </c>
      <c r="D1237">
        <f t="shared" si="19"/>
        <v>1845100849</v>
      </c>
    </row>
    <row r="1238" spans="1:4" ht="14" x14ac:dyDescent="0.15">
      <c r="A1238" s="322">
        <v>1845100850</v>
      </c>
      <c r="B1238" s="322" t="s">
        <v>61</v>
      </c>
      <c r="C1238">
        <v>1938000752</v>
      </c>
      <c r="D1238">
        <f t="shared" si="19"/>
        <v>1845100850</v>
      </c>
    </row>
    <row r="1239" spans="1:4" ht="14" x14ac:dyDescent="0.15">
      <c r="A1239" s="322">
        <v>1845100851</v>
      </c>
      <c r="B1239" s="322" t="s">
        <v>86</v>
      </c>
      <c r="C1239">
        <v>1938000760</v>
      </c>
      <c r="D1239">
        <f t="shared" si="19"/>
        <v>1845100851</v>
      </c>
    </row>
    <row r="1240" spans="1:4" ht="14" x14ac:dyDescent="0.15">
      <c r="A1240" s="322">
        <v>1845100852</v>
      </c>
      <c r="B1240" s="322" t="s">
        <v>1480</v>
      </c>
      <c r="C1240">
        <v>1938000780</v>
      </c>
      <c r="D1240">
        <f t="shared" si="19"/>
        <v>1845100852</v>
      </c>
    </row>
    <row r="1241" spans="1:4" ht="14" x14ac:dyDescent="0.15">
      <c r="A1241" s="322">
        <v>1845100853</v>
      </c>
      <c r="B1241" s="322" t="s">
        <v>2002</v>
      </c>
      <c r="C1241">
        <v>1938000980</v>
      </c>
      <c r="D1241">
        <f t="shared" si="19"/>
        <v>1845100853</v>
      </c>
    </row>
    <row r="1242" spans="1:4" ht="14" x14ac:dyDescent="0.15">
      <c r="A1242" s="322">
        <v>1845200110</v>
      </c>
      <c r="B1242" s="322" t="s">
        <v>1013</v>
      </c>
      <c r="C1242">
        <v>1938001731</v>
      </c>
      <c r="D1242">
        <f t="shared" si="19"/>
        <v>1845200110</v>
      </c>
    </row>
    <row r="1243" spans="1:4" ht="14" x14ac:dyDescent="0.15">
      <c r="A1243" s="322">
        <v>1845200210</v>
      </c>
      <c r="B1243" s="322" t="s">
        <v>1014</v>
      </c>
      <c r="C1243">
        <v>1938100110</v>
      </c>
      <c r="D1243">
        <f t="shared" si="19"/>
        <v>1845200210</v>
      </c>
    </row>
    <row r="1244" spans="1:4" ht="14" x14ac:dyDescent="0.15">
      <c r="A1244" s="322">
        <v>1845200840</v>
      </c>
      <c r="B1244" s="322" t="s">
        <v>1030</v>
      </c>
      <c r="C1244">
        <v>1938100780</v>
      </c>
      <c r="D1244" t="e">
        <f t="shared" si="19"/>
        <v>#N/A</v>
      </c>
    </row>
    <row r="1245" spans="1:4" ht="14" x14ac:dyDescent="0.15">
      <c r="A1245" s="322">
        <v>1845200841</v>
      </c>
      <c r="B1245" s="322" t="s">
        <v>1031</v>
      </c>
      <c r="C1245">
        <v>1938200110</v>
      </c>
      <c r="D1245">
        <f t="shared" si="19"/>
        <v>1845200841</v>
      </c>
    </row>
    <row r="1246" spans="1:4" ht="14" x14ac:dyDescent="0.15">
      <c r="A1246" s="322">
        <v>1845200842</v>
      </c>
      <c r="B1246" s="322" t="s">
        <v>1032</v>
      </c>
      <c r="C1246">
        <v>1938200511</v>
      </c>
      <c r="D1246">
        <f t="shared" si="19"/>
        <v>1845200842</v>
      </c>
    </row>
    <row r="1247" spans="1:4" ht="14" x14ac:dyDescent="0.15">
      <c r="A1247" s="322">
        <v>1845200846</v>
      </c>
      <c r="B1247" s="322" t="s">
        <v>63</v>
      </c>
      <c r="C1247">
        <v>1938200521</v>
      </c>
      <c r="D1247">
        <f t="shared" si="19"/>
        <v>1845200846</v>
      </c>
    </row>
    <row r="1248" spans="1:4" ht="14" x14ac:dyDescent="0.15">
      <c r="A1248" s="322">
        <v>1845200847</v>
      </c>
      <c r="B1248" s="322" t="s">
        <v>64</v>
      </c>
      <c r="C1248">
        <v>1938200560</v>
      </c>
      <c r="D1248">
        <f t="shared" si="19"/>
        <v>1845200847</v>
      </c>
    </row>
    <row r="1249" spans="1:4" ht="14" x14ac:dyDescent="0.15">
      <c r="A1249" s="322">
        <v>1845300840</v>
      </c>
      <c r="B1249" s="322" t="s">
        <v>298</v>
      </c>
      <c r="C1249">
        <v>1938200570</v>
      </c>
      <c r="D1249">
        <f t="shared" si="19"/>
        <v>1845300840</v>
      </c>
    </row>
    <row r="1250" spans="1:4" ht="14" x14ac:dyDescent="0.15">
      <c r="A1250" s="322">
        <v>1845300841</v>
      </c>
      <c r="B1250" s="322" t="s">
        <v>439</v>
      </c>
      <c r="C1250">
        <v>1938200581</v>
      </c>
      <c r="D1250">
        <f t="shared" si="19"/>
        <v>1845300841</v>
      </c>
    </row>
    <row r="1251" spans="1:4" ht="14" x14ac:dyDescent="0.15">
      <c r="A1251" s="322">
        <v>1845300843</v>
      </c>
      <c r="B1251" s="322" t="s">
        <v>440</v>
      </c>
      <c r="C1251">
        <v>1938200930</v>
      </c>
      <c r="D1251">
        <f t="shared" si="19"/>
        <v>1845300843</v>
      </c>
    </row>
    <row r="1252" spans="1:4" ht="14" x14ac:dyDescent="0.15">
      <c r="A1252" s="322">
        <v>1845300845</v>
      </c>
      <c r="B1252" s="322" t="s">
        <v>441</v>
      </c>
      <c r="C1252">
        <v>1939000110</v>
      </c>
      <c r="D1252" t="e">
        <f t="shared" si="19"/>
        <v>#N/A</v>
      </c>
    </row>
    <row r="1253" spans="1:4" ht="14" x14ac:dyDescent="0.15">
      <c r="A1253" s="322">
        <v>1845300846</v>
      </c>
      <c r="B1253" s="322" t="s">
        <v>87</v>
      </c>
      <c r="C1253">
        <v>1939000410</v>
      </c>
      <c r="D1253">
        <f t="shared" si="19"/>
        <v>1845300846</v>
      </c>
    </row>
    <row r="1254" spans="1:4" ht="14" x14ac:dyDescent="0.15">
      <c r="A1254" s="322">
        <v>1845300847</v>
      </c>
      <c r="B1254" s="322" t="s">
        <v>65</v>
      </c>
      <c r="C1254">
        <v>1939000511</v>
      </c>
      <c r="D1254">
        <f t="shared" si="19"/>
        <v>1845300847</v>
      </c>
    </row>
    <row r="1255" spans="1:4" ht="14" x14ac:dyDescent="0.15">
      <c r="A1255" s="322">
        <v>1845300848</v>
      </c>
      <c r="B1255" s="322" t="s">
        <v>66</v>
      </c>
      <c r="C1255">
        <v>1939000560</v>
      </c>
      <c r="D1255">
        <f t="shared" si="19"/>
        <v>1845300848</v>
      </c>
    </row>
    <row r="1256" spans="1:4" ht="14" x14ac:dyDescent="0.15">
      <c r="A1256" s="322">
        <v>1846100840</v>
      </c>
      <c r="B1256" s="322" t="s">
        <v>442</v>
      </c>
      <c r="C1256">
        <v>1939000570</v>
      </c>
      <c r="D1256">
        <f t="shared" si="19"/>
        <v>1846100840</v>
      </c>
    </row>
    <row r="1257" spans="1:4" ht="14" x14ac:dyDescent="0.15">
      <c r="A1257" s="322">
        <v>1846300841</v>
      </c>
      <c r="B1257" s="322" t="s">
        <v>443</v>
      </c>
      <c r="C1257">
        <v>1939000581</v>
      </c>
      <c r="D1257">
        <f t="shared" si="19"/>
        <v>1846300841</v>
      </c>
    </row>
    <row r="1258" spans="1:4" ht="14" x14ac:dyDescent="0.15">
      <c r="A1258" s="322">
        <v>1846300843</v>
      </c>
      <c r="B1258" s="322" t="s">
        <v>444</v>
      </c>
      <c r="C1258">
        <v>1939000730</v>
      </c>
      <c r="D1258">
        <f t="shared" si="19"/>
        <v>1846300843</v>
      </c>
    </row>
    <row r="1259" spans="1:4" ht="14" x14ac:dyDescent="0.15">
      <c r="A1259" s="322">
        <v>1846400780</v>
      </c>
      <c r="B1259" s="322" t="s">
        <v>1033</v>
      </c>
      <c r="C1259">
        <v>1939000731</v>
      </c>
      <c r="D1259">
        <f t="shared" si="19"/>
        <v>1846400780</v>
      </c>
    </row>
    <row r="1260" spans="1:4" ht="14" x14ac:dyDescent="0.15">
      <c r="A1260" s="322">
        <v>1846400840</v>
      </c>
      <c r="B1260" s="322" t="s">
        <v>1415</v>
      </c>
      <c r="C1260">
        <v>1939000750</v>
      </c>
      <c r="D1260">
        <f t="shared" si="19"/>
        <v>1846400840</v>
      </c>
    </row>
    <row r="1261" spans="1:4" ht="14" x14ac:dyDescent="0.15">
      <c r="A1261" s="324">
        <v>1846400841</v>
      </c>
      <c r="B1261" s="322" t="s">
        <v>445</v>
      </c>
      <c r="C1261">
        <v>1939000751</v>
      </c>
      <c r="D1261" t="e">
        <f t="shared" si="19"/>
        <v>#N/A</v>
      </c>
    </row>
    <row r="1262" spans="1:4" ht="14" x14ac:dyDescent="0.15">
      <c r="A1262" s="322">
        <v>1846500840</v>
      </c>
      <c r="B1262" s="322" t="s">
        <v>446</v>
      </c>
      <c r="C1262">
        <v>1939000780</v>
      </c>
      <c r="D1262">
        <f t="shared" si="19"/>
        <v>1846500840</v>
      </c>
    </row>
    <row r="1263" spans="1:4" ht="14" x14ac:dyDescent="0.15">
      <c r="A1263" s="322">
        <v>1846600840</v>
      </c>
      <c r="B1263" s="322" t="s">
        <v>1034</v>
      </c>
      <c r="C1263">
        <v>1939000910</v>
      </c>
      <c r="D1263">
        <f t="shared" si="19"/>
        <v>1846600840</v>
      </c>
    </row>
    <row r="1264" spans="1:4" ht="14" x14ac:dyDescent="0.15">
      <c r="A1264" s="322">
        <v>1846600841</v>
      </c>
      <c r="B1264" s="322" t="s">
        <v>448</v>
      </c>
      <c r="C1264">
        <v>1939000980</v>
      </c>
      <c r="D1264">
        <f t="shared" si="19"/>
        <v>1846600841</v>
      </c>
    </row>
    <row r="1265" spans="1:4" ht="14" x14ac:dyDescent="0.15">
      <c r="A1265" s="322">
        <v>1846600843</v>
      </c>
      <c r="B1265" s="322" t="s">
        <v>1479</v>
      </c>
      <c r="C1265">
        <v>1939002530</v>
      </c>
      <c r="D1265">
        <f t="shared" si="19"/>
        <v>1846600843</v>
      </c>
    </row>
    <row r="1266" spans="1:4" ht="14" x14ac:dyDescent="0.15">
      <c r="A1266" s="322">
        <v>1846700210</v>
      </c>
      <c r="B1266" s="322" t="s">
        <v>1657</v>
      </c>
      <c r="C1266">
        <v>1939003530</v>
      </c>
      <c r="D1266">
        <f t="shared" si="19"/>
        <v>1846700210</v>
      </c>
    </row>
    <row r="1267" spans="1:4" ht="14" x14ac:dyDescent="0.15">
      <c r="A1267" s="322">
        <v>1846700840</v>
      </c>
      <c r="B1267" s="322" t="s">
        <v>1035</v>
      </c>
      <c r="C1267">
        <v>1939003731</v>
      </c>
      <c r="D1267">
        <f t="shared" si="19"/>
        <v>1846700840</v>
      </c>
    </row>
    <row r="1268" spans="1:4" ht="14" x14ac:dyDescent="0.15">
      <c r="A1268" s="322">
        <v>1846700841</v>
      </c>
      <c r="B1268" s="322" t="s">
        <v>1417</v>
      </c>
      <c r="C1268">
        <v>1939004731</v>
      </c>
      <c r="D1268">
        <f t="shared" si="19"/>
        <v>1846700841</v>
      </c>
    </row>
    <row r="1269" spans="1:4" ht="14" x14ac:dyDescent="0.15">
      <c r="A1269" s="322">
        <v>1846700843</v>
      </c>
      <c r="B1269" s="322" t="s">
        <v>303</v>
      </c>
      <c r="C1269">
        <v>1939006731</v>
      </c>
      <c r="D1269">
        <f t="shared" si="19"/>
        <v>1846700843</v>
      </c>
    </row>
    <row r="1270" spans="1:4" ht="14" x14ac:dyDescent="0.15">
      <c r="A1270" s="322">
        <v>1846700844</v>
      </c>
      <c r="B1270" s="322" t="s">
        <v>450</v>
      </c>
      <c r="C1270">
        <v>1939011731</v>
      </c>
      <c r="D1270">
        <f t="shared" si="19"/>
        <v>1846700844</v>
      </c>
    </row>
    <row r="1271" spans="1:4" ht="14" x14ac:dyDescent="0.15">
      <c r="A1271" s="322">
        <v>1846700845</v>
      </c>
      <c r="B1271" s="322" t="s">
        <v>451</v>
      </c>
      <c r="C1271">
        <v>1939012731</v>
      </c>
      <c r="D1271" t="e">
        <f t="shared" si="19"/>
        <v>#N/A</v>
      </c>
    </row>
    <row r="1272" spans="1:4" ht="14" x14ac:dyDescent="0.15">
      <c r="A1272" s="322">
        <v>1846700846</v>
      </c>
      <c r="B1272" s="322" t="s">
        <v>452</v>
      </c>
      <c r="C1272">
        <v>1939013731</v>
      </c>
      <c r="D1272">
        <f t="shared" si="19"/>
        <v>1846700846</v>
      </c>
    </row>
    <row r="1273" spans="1:4" ht="14" x14ac:dyDescent="0.15">
      <c r="A1273" s="322">
        <v>1846700847</v>
      </c>
      <c r="B1273" s="322" t="s">
        <v>453</v>
      </c>
      <c r="C1273">
        <v>1939014530</v>
      </c>
      <c r="D1273" t="e">
        <f t="shared" si="19"/>
        <v>#N/A</v>
      </c>
    </row>
    <row r="1274" spans="1:4" ht="14" x14ac:dyDescent="0.15">
      <c r="A1274" s="322">
        <v>1846700848</v>
      </c>
      <c r="B1274" s="322" t="s">
        <v>454</v>
      </c>
      <c r="C1274">
        <v>1939015731</v>
      </c>
      <c r="D1274">
        <f t="shared" si="19"/>
        <v>1846700848</v>
      </c>
    </row>
    <row r="1275" spans="1:4" ht="14" x14ac:dyDescent="0.15">
      <c r="A1275" s="322">
        <v>1846700849</v>
      </c>
      <c r="B1275" s="322" t="s">
        <v>88</v>
      </c>
      <c r="C1275">
        <v>1939016731</v>
      </c>
      <c r="D1275">
        <f t="shared" si="19"/>
        <v>1846700849</v>
      </c>
    </row>
    <row r="1276" spans="1:4" ht="14" x14ac:dyDescent="0.15">
      <c r="A1276" s="322">
        <v>1846800842</v>
      </c>
      <c r="B1276" s="322" t="s">
        <v>455</v>
      </c>
      <c r="C1276">
        <v>1939019731</v>
      </c>
      <c r="D1276">
        <f t="shared" si="19"/>
        <v>1846800842</v>
      </c>
    </row>
    <row r="1277" spans="1:4" ht="14" x14ac:dyDescent="0.15">
      <c r="A1277" s="322">
        <v>1846800843</v>
      </c>
      <c r="B1277" s="322" t="s">
        <v>456</v>
      </c>
      <c r="C1277">
        <v>1939033731</v>
      </c>
      <c r="D1277">
        <f t="shared" si="19"/>
        <v>1846800843</v>
      </c>
    </row>
    <row r="1278" spans="1:4" ht="14" x14ac:dyDescent="0.15">
      <c r="A1278" s="322">
        <v>1846800844</v>
      </c>
      <c r="B1278" s="322" t="s">
        <v>457</v>
      </c>
      <c r="C1278">
        <v>1939043731</v>
      </c>
      <c r="D1278">
        <f t="shared" si="19"/>
        <v>1846800844</v>
      </c>
    </row>
    <row r="1279" spans="1:4" ht="14" x14ac:dyDescent="0.15">
      <c r="A1279" s="322">
        <v>1846800845</v>
      </c>
      <c r="B1279" s="322" t="s">
        <v>458</v>
      </c>
      <c r="C1279">
        <v>1939100730</v>
      </c>
      <c r="D1279" t="e">
        <f t="shared" si="19"/>
        <v>#N/A</v>
      </c>
    </row>
    <row r="1280" spans="1:4" ht="14" x14ac:dyDescent="0.15">
      <c r="A1280" s="322">
        <v>1846800846</v>
      </c>
      <c r="B1280" s="322" t="s">
        <v>459</v>
      </c>
      <c r="C1280">
        <v>1939200731</v>
      </c>
      <c r="D1280">
        <f t="shared" si="19"/>
        <v>1846800846</v>
      </c>
    </row>
    <row r="1281" spans="1:4" ht="14" x14ac:dyDescent="0.15">
      <c r="A1281" s="322">
        <v>1846800847</v>
      </c>
      <c r="B1281" s="322" t="s">
        <v>1419</v>
      </c>
      <c r="C1281">
        <v>1939300731</v>
      </c>
      <c r="D1281" t="e">
        <f t="shared" si="19"/>
        <v>#N/A</v>
      </c>
    </row>
    <row r="1282" spans="1:4" ht="14" x14ac:dyDescent="0.15">
      <c r="A1282" s="322">
        <v>1846800848</v>
      </c>
      <c r="B1282" s="322" t="s">
        <v>1627</v>
      </c>
      <c r="C1282" s="163"/>
      <c r="D1282">
        <f t="shared" si="19"/>
        <v>1846800848</v>
      </c>
    </row>
    <row r="1283" spans="1:4" ht="14" x14ac:dyDescent="0.15">
      <c r="A1283" s="322">
        <v>1846800850</v>
      </c>
      <c r="B1283" s="322" t="s">
        <v>67</v>
      </c>
      <c r="C1283" s="182"/>
      <c r="D1283">
        <f t="shared" si="19"/>
        <v>1846800850</v>
      </c>
    </row>
    <row r="1284" spans="1:4" ht="14" x14ac:dyDescent="0.15">
      <c r="A1284" s="322">
        <v>1846800851</v>
      </c>
      <c r="B1284" s="322" t="s">
        <v>68</v>
      </c>
      <c r="C1284">
        <v>1972000750</v>
      </c>
      <c r="D1284" t="e">
        <f t="shared" ref="D1284:D1347" si="20">VLOOKUP(A1284,$C$3:$C$1296,1,FALSE)</f>
        <v>#N/A</v>
      </c>
    </row>
    <row r="1285" spans="1:4" ht="14" x14ac:dyDescent="0.15">
      <c r="A1285" s="322">
        <v>1846900780</v>
      </c>
      <c r="B1285" s="322" t="s">
        <v>1548</v>
      </c>
      <c r="C1285">
        <v>1972000770</v>
      </c>
      <c r="D1285">
        <f t="shared" si="20"/>
        <v>1846900780</v>
      </c>
    </row>
    <row r="1286" spans="1:4" ht="14" x14ac:dyDescent="0.15">
      <c r="A1286" s="322">
        <v>1847100110</v>
      </c>
      <c r="B1286" s="322" t="s">
        <v>1655</v>
      </c>
      <c r="C1286" s="182"/>
      <c r="D1286">
        <f t="shared" si="20"/>
        <v>1847100110</v>
      </c>
    </row>
    <row r="1287" spans="1:4" ht="14" x14ac:dyDescent="0.15">
      <c r="A1287" s="322">
        <v>1847100210</v>
      </c>
      <c r="B1287" s="322" t="s">
        <v>1939</v>
      </c>
      <c r="C1287" s="182">
        <v>1980000310</v>
      </c>
      <c r="D1287">
        <f t="shared" si="20"/>
        <v>1847100210</v>
      </c>
    </row>
    <row r="1288" spans="1:4" ht="14" x14ac:dyDescent="0.15">
      <c r="A1288" s="322">
        <v>1847100780</v>
      </c>
      <c r="B1288" s="322" t="s">
        <v>1036</v>
      </c>
      <c r="C1288" s="182">
        <v>1980000312</v>
      </c>
      <c r="D1288" t="e">
        <f t="shared" si="20"/>
        <v>#N/A</v>
      </c>
    </row>
    <row r="1289" spans="1:4" ht="14" x14ac:dyDescent="0.15">
      <c r="A1289" s="322">
        <v>1847100841</v>
      </c>
      <c r="B1289" s="322" t="s">
        <v>461</v>
      </c>
      <c r="C1289" s="182"/>
      <c r="D1289">
        <f t="shared" si="20"/>
        <v>1847100841</v>
      </c>
    </row>
    <row r="1290" spans="1:4" ht="14" x14ac:dyDescent="0.15">
      <c r="A1290" s="322">
        <v>1847100843</v>
      </c>
      <c r="B1290" s="322" t="s">
        <v>462</v>
      </c>
      <c r="C1290" s="182"/>
      <c r="D1290">
        <f t="shared" si="20"/>
        <v>1847100843</v>
      </c>
    </row>
    <row r="1291" spans="1:4" ht="14" x14ac:dyDescent="0.15">
      <c r="A1291" s="322">
        <v>1847100845</v>
      </c>
      <c r="B1291" s="322" t="s">
        <v>1421</v>
      </c>
      <c r="C1291">
        <v>1991000110</v>
      </c>
      <c r="D1291">
        <f t="shared" si="20"/>
        <v>1847100845</v>
      </c>
    </row>
    <row r="1292" spans="1:4" ht="14" x14ac:dyDescent="0.15">
      <c r="A1292" s="322">
        <v>1847100846</v>
      </c>
      <c r="B1292" s="322" t="s">
        <v>50</v>
      </c>
      <c r="C1292">
        <v>1991000310</v>
      </c>
      <c r="D1292">
        <f t="shared" si="20"/>
        <v>1847100846</v>
      </c>
    </row>
    <row r="1293" spans="1:4" ht="14" x14ac:dyDescent="0.15">
      <c r="A1293" s="322">
        <v>1847100849</v>
      </c>
      <c r="B1293" s="322" t="s">
        <v>1957</v>
      </c>
      <c r="C1293">
        <v>1991000320</v>
      </c>
      <c r="D1293">
        <f t="shared" si="20"/>
        <v>1847100849</v>
      </c>
    </row>
    <row r="1294" spans="1:4" ht="14" x14ac:dyDescent="0.15">
      <c r="A1294" s="322">
        <v>1847100850</v>
      </c>
      <c r="B1294" s="322" t="s">
        <v>1145</v>
      </c>
      <c r="C1294">
        <v>1991000523</v>
      </c>
      <c r="D1294" t="e">
        <f t="shared" si="20"/>
        <v>#N/A</v>
      </c>
    </row>
    <row r="1295" spans="1:4" ht="14" x14ac:dyDescent="0.15">
      <c r="A1295" s="322">
        <v>1847100852</v>
      </c>
      <c r="B1295" s="322" t="s">
        <v>69</v>
      </c>
      <c r="C1295">
        <v>1993000980</v>
      </c>
      <c r="D1295">
        <f t="shared" si="20"/>
        <v>1847100852</v>
      </c>
    </row>
    <row r="1296" spans="1:4" ht="14" x14ac:dyDescent="0.15">
      <c r="A1296" s="324">
        <v>1847100853</v>
      </c>
      <c r="B1296" s="322" t="s">
        <v>1958</v>
      </c>
      <c r="C1296">
        <v>1995000860</v>
      </c>
      <c r="D1296" t="e">
        <f t="shared" si="20"/>
        <v>#N/A</v>
      </c>
    </row>
    <row r="1297" spans="1:4" ht="14" x14ac:dyDescent="0.15">
      <c r="A1297" s="322">
        <v>1847100854</v>
      </c>
      <c r="B1297" s="322" t="s">
        <v>1959</v>
      </c>
      <c r="D1297">
        <f t="shared" si="20"/>
        <v>1847100854</v>
      </c>
    </row>
    <row r="1298" spans="1:4" ht="14" x14ac:dyDescent="0.15">
      <c r="A1298" s="324">
        <v>1847110110</v>
      </c>
      <c r="B1298" s="322" t="s">
        <v>2063</v>
      </c>
      <c r="D1298" t="e">
        <f t="shared" si="20"/>
        <v>#N/A</v>
      </c>
    </row>
    <row r="1299" spans="1:4" ht="14" x14ac:dyDescent="0.15">
      <c r="A1299" s="324">
        <v>1847110780</v>
      </c>
      <c r="B1299" s="322" t="s">
        <v>2167</v>
      </c>
      <c r="D1299" t="e">
        <f t="shared" si="20"/>
        <v>#N/A</v>
      </c>
    </row>
    <row r="1300" spans="1:4" ht="14" x14ac:dyDescent="0.15">
      <c r="A1300" s="322">
        <v>1847110842</v>
      </c>
      <c r="B1300" s="322" t="s">
        <v>464</v>
      </c>
      <c r="D1300">
        <f t="shared" si="20"/>
        <v>1847110842</v>
      </c>
    </row>
    <row r="1301" spans="1:4" ht="14" x14ac:dyDescent="0.15">
      <c r="A1301" s="324">
        <v>1847300430</v>
      </c>
      <c r="B1301" s="322" t="s">
        <v>2168</v>
      </c>
      <c r="D1301" t="e">
        <f t="shared" si="20"/>
        <v>#N/A</v>
      </c>
    </row>
    <row r="1302" spans="1:4" ht="14" x14ac:dyDescent="0.15">
      <c r="A1302" s="322">
        <v>1847300840</v>
      </c>
      <c r="B1302" s="322" t="s">
        <v>466</v>
      </c>
      <c r="D1302">
        <f t="shared" si="20"/>
        <v>1847300840</v>
      </c>
    </row>
    <row r="1303" spans="1:4" ht="14" x14ac:dyDescent="0.15">
      <c r="A1303" s="322">
        <v>1847300842</v>
      </c>
      <c r="B1303" s="322" t="s">
        <v>467</v>
      </c>
      <c r="D1303" t="e">
        <f t="shared" si="20"/>
        <v>#N/A</v>
      </c>
    </row>
    <row r="1304" spans="1:4" ht="14" x14ac:dyDescent="0.15">
      <c r="A1304" s="322">
        <v>1847300846</v>
      </c>
      <c r="B1304" s="322" t="s">
        <v>1425</v>
      </c>
      <c r="D1304">
        <f t="shared" si="20"/>
        <v>1847300846</v>
      </c>
    </row>
    <row r="1305" spans="1:4" ht="14" x14ac:dyDescent="0.15">
      <c r="A1305" s="322">
        <v>1847300847</v>
      </c>
      <c r="B1305" s="322" t="s">
        <v>89</v>
      </c>
      <c r="D1305">
        <f t="shared" si="20"/>
        <v>1847300847</v>
      </c>
    </row>
    <row r="1306" spans="1:4" ht="14" x14ac:dyDescent="0.15">
      <c r="A1306" s="322">
        <v>1847300848</v>
      </c>
      <c r="B1306" s="322" t="s">
        <v>1478</v>
      </c>
      <c r="D1306">
        <f t="shared" si="20"/>
        <v>1847300848</v>
      </c>
    </row>
    <row r="1307" spans="1:4" ht="14" x14ac:dyDescent="0.15">
      <c r="A1307" s="322">
        <v>1847400422</v>
      </c>
      <c r="B1307" s="322" t="s">
        <v>1039</v>
      </c>
      <c r="D1307">
        <f t="shared" si="20"/>
        <v>1847400422</v>
      </c>
    </row>
    <row r="1308" spans="1:4" ht="14" x14ac:dyDescent="0.15">
      <c r="A1308" s="322">
        <v>1847400540</v>
      </c>
      <c r="B1308" s="322" t="s">
        <v>875</v>
      </c>
      <c r="D1308">
        <f t="shared" si="20"/>
        <v>1847400540</v>
      </c>
    </row>
    <row r="1309" spans="1:4" ht="14" x14ac:dyDescent="0.15">
      <c r="A1309" s="322">
        <v>1847400560</v>
      </c>
      <c r="B1309" s="322" t="s">
        <v>1040</v>
      </c>
      <c r="D1309">
        <f t="shared" si="20"/>
        <v>1847400560</v>
      </c>
    </row>
    <row r="1310" spans="1:4" ht="14" x14ac:dyDescent="0.15">
      <c r="A1310" s="322">
        <v>1847400720</v>
      </c>
      <c r="B1310" s="322" t="s">
        <v>689</v>
      </c>
      <c r="D1310">
        <f t="shared" si="20"/>
        <v>1847400720</v>
      </c>
    </row>
    <row r="1311" spans="1:4" ht="14" x14ac:dyDescent="0.15">
      <c r="A1311" s="322">
        <v>1847400840</v>
      </c>
      <c r="B1311" s="322" t="s">
        <v>200</v>
      </c>
      <c r="D1311">
        <f t="shared" si="20"/>
        <v>1847400840</v>
      </c>
    </row>
    <row r="1312" spans="1:4" ht="14" x14ac:dyDescent="0.15">
      <c r="A1312" s="322">
        <v>1847400841</v>
      </c>
      <c r="B1312" s="322" t="s">
        <v>1041</v>
      </c>
      <c r="D1312">
        <f t="shared" si="20"/>
        <v>1847400841</v>
      </c>
    </row>
    <row r="1313" spans="1:4" ht="14" x14ac:dyDescent="0.15">
      <c r="A1313" s="322">
        <v>1847400843</v>
      </c>
      <c r="B1313" s="322" t="s">
        <v>1042</v>
      </c>
      <c r="D1313">
        <f t="shared" si="20"/>
        <v>1847400843</v>
      </c>
    </row>
    <row r="1314" spans="1:4" ht="14" x14ac:dyDescent="0.15">
      <c r="A1314" s="322">
        <v>1847400844</v>
      </c>
      <c r="B1314" s="322" t="s">
        <v>1043</v>
      </c>
      <c r="D1314">
        <f t="shared" si="20"/>
        <v>1847400844</v>
      </c>
    </row>
    <row r="1315" spans="1:4" ht="14" x14ac:dyDescent="0.15">
      <c r="A1315" s="322">
        <v>1847400845</v>
      </c>
      <c r="B1315" s="322" t="s">
        <v>473</v>
      </c>
      <c r="D1315">
        <f t="shared" si="20"/>
        <v>1847400845</v>
      </c>
    </row>
    <row r="1316" spans="1:4" ht="14" x14ac:dyDescent="0.15">
      <c r="A1316" s="324">
        <v>1847400846</v>
      </c>
      <c r="B1316" s="322" t="s">
        <v>2027</v>
      </c>
      <c r="D1316" t="e">
        <f t="shared" si="20"/>
        <v>#N/A</v>
      </c>
    </row>
    <row r="1317" spans="1:4" ht="14" x14ac:dyDescent="0.15">
      <c r="A1317" s="324">
        <v>1847400930</v>
      </c>
      <c r="B1317" s="322" t="s">
        <v>2169</v>
      </c>
      <c r="D1317" t="e">
        <f t="shared" si="20"/>
        <v>#N/A</v>
      </c>
    </row>
    <row r="1318" spans="1:4" ht="14" x14ac:dyDescent="0.15">
      <c r="A1318" s="322">
        <v>1847401110</v>
      </c>
      <c r="B1318" s="322" t="s">
        <v>1015</v>
      </c>
      <c r="D1318">
        <f t="shared" si="20"/>
        <v>1847401110</v>
      </c>
    </row>
    <row r="1319" spans="1:4" ht="14" x14ac:dyDescent="0.15">
      <c r="A1319" s="322">
        <v>1847402110</v>
      </c>
      <c r="B1319" s="322" t="s">
        <v>1016</v>
      </c>
      <c r="D1319">
        <f t="shared" si="20"/>
        <v>1847402110</v>
      </c>
    </row>
    <row r="1320" spans="1:4" ht="14" x14ac:dyDescent="0.15">
      <c r="A1320" s="322">
        <v>1847404110</v>
      </c>
      <c r="B1320" s="322" t="s">
        <v>1017</v>
      </c>
      <c r="D1320">
        <f t="shared" si="20"/>
        <v>1847404110</v>
      </c>
    </row>
    <row r="1321" spans="1:4" ht="14" x14ac:dyDescent="0.15">
      <c r="A1321" s="324">
        <v>1847405110</v>
      </c>
      <c r="B1321" s="322" t="s">
        <v>1018</v>
      </c>
      <c r="D1321" t="e">
        <f t="shared" si="20"/>
        <v>#N/A</v>
      </c>
    </row>
    <row r="1322" spans="1:4" ht="14" x14ac:dyDescent="0.15">
      <c r="A1322" s="322">
        <v>1847411110</v>
      </c>
      <c r="B1322" s="322" t="s">
        <v>1019</v>
      </c>
      <c r="D1322">
        <f t="shared" si="20"/>
        <v>1847411110</v>
      </c>
    </row>
    <row r="1323" spans="1:4" ht="14" x14ac:dyDescent="0.15">
      <c r="A1323" s="322">
        <v>1847411210</v>
      </c>
      <c r="B1323" s="322" t="s">
        <v>1477</v>
      </c>
      <c r="D1323">
        <f t="shared" si="20"/>
        <v>1847411210</v>
      </c>
    </row>
    <row r="1324" spans="1:4" ht="14" x14ac:dyDescent="0.15">
      <c r="A1324" s="322">
        <v>1847411750</v>
      </c>
      <c r="B1324" s="322" t="s">
        <v>1044</v>
      </c>
      <c r="D1324">
        <f t="shared" si="20"/>
        <v>1847411750</v>
      </c>
    </row>
    <row r="1325" spans="1:4" ht="14" x14ac:dyDescent="0.15">
      <c r="A1325" s="322">
        <v>1847428110</v>
      </c>
      <c r="B1325" s="322" t="s">
        <v>919</v>
      </c>
      <c r="D1325">
        <f t="shared" si="20"/>
        <v>1847428110</v>
      </c>
    </row>
    <row r="1326" spans="1:4" ht="14" x14ac:dyDescent="0.15">
      <c r="A1326" s="322">
        <v>1848200841</v>
      </c>
      <c r="B1326" s="322" t="s">
        <v>1045</v>
      </c>
      <c r="D1326">
        <f t="shared" si="20"/>
        <v>1848200841</v>
      </c>
    </row>
    <row r="1327" spans="1:4" ht="14" x14ac:dyDescent="0.15">
      <c r="A1327" s="322">
        <v>1848200847</v>
      </c>
      <c r="B1327" s="322" t="s">
        <v>1365</v>
      </c>
      <c r="D1327">
        <f t="shared" si="20"/>
        <v>1848200847</v>
      </c>
    </row>
    <row r="1328" spans="1:4" ht="14" x14ac:dyDescent="0.15">
      <c r="A1328" s="322">
        <v>1848300580</v>
      </c>
      <c r="B1328" s="322" t="s">
        <v>1046</v>
      </c>
      <c r="D1328">
        <f t="shared" si="20"/>
        <v>1848300580</v>
      </c>
    </row>
    <row r="1329" spans="1:4" ht="14" x14ac:dyDescent="0.15">
      <c r="A1329" s="322">
        <v>1848300840</v>
      </c>
      <c r="B1329" s="322" t="s">
        <v>1047</v>
      </c>
      <c r="D1329">
        <f t="shared" si="20"/>
        <v>1848300840</v>
      </c>
    </row>
    <row r="1330" spans="1:4" ht="14" x14ac:dyDescent="0.15">
      <c r="A1330" s="322">
        <v>1848400840</v>
      </c>
      <c r="B1330" s="322" t="s">
        <v>476</v>
      </c>
      <c r="D1330">
        <f t="shared" si="20"/>
        <v>1848400840</v>
      </c>
    </row>
    <row r="1331" spans="1:4" ht="14" x14ac:dyDescent="0.15">
      <c r="A1331" s="322">
        <v>1848500840</v>
      </c>
      <c r="B1331" s="322" t="s">
        <v>477</v>
      </c>
      <c r="D1331">
        <f t="shared" si="20"/>
        <v>1848500840</v>
      </c>
    </row>
    <row r="1332" spans="1:4" ht="14" x14ac:dyDescent="0.15">
      <c r="A1332" s="322">
        <v>1848800110</v>
      </c>
      <c r="B1332" s="322" t="s">
        <v>523</v>
      </c>
      <c r="D1332">
        <f t="shared" si="20"/>
        <v>1848800110</v>
      </c>
    </row>
    <row r="1333" spans="1:4" ht="14" x14ac:dyDescent="0.15">
      <c r="A1333" s="322">
        <v>1848800780</v>
      </c>
      <c r="B1333" s="322" t="s">
        <v>1048</v>
      </c>
      <c r="D1333">
        <f t="shared" si="20"/>
        <v>1848800780</v>
      </c>
    </row>
    <row r="1334" spans="1:4" ht="14" x14ac:dyDescent="0.15">
      <c r="A1334" s="322">
        <v>1848801210</v>
      </c>
      <c r="B1334" s="322" t="s">
        <v>1020</v>
      </c>
      <c r="D1334">
        <f t="shared" si="20"/>
        <v>1848801210</v>
      </c>
    </row>
    <row r="1335" spans="1:4" ht="14" x14ac:dyDescent="0.15">
      <c r="A1335" s="322">
        <v>1848801750</v>
      </c>
      <c r="B1335" s="322" t="s">
        <v>1049</v>
      </c>
      <c r="D1335">
        <f t="shared" si="20"/>
        <v>1848801750</v>
      </c>
    </row>
    <row r="1336" spans="1:4" ht="14" x14ac:dyDescent="0.15">
      <c r="A1336" s="322">
        <v>1849000840</v>
      </c>
      <c r="B1336" s="322" t="s">
        <v>1050</v>
      </c>
      <c r="D1336">
        <f t="shared" si="20"/>
        <v>1849000840</v>
      </c>
    </row>
    <row r="1337" spans="1:4" s="327" customFormat="1" ht="14" x14ac:dyDescent="0.15">
      <c r="A1337" s="324">
        <v>1849000841</v>
      </c>
      <c r="B1337" s="324" t="s">
        <v>1051</v>
      </c>
      <c r="D1337" s="327" t="e">
        <f t="shared" si="20"/>
        <v>#N/A</v>
      </c>
    </row>
    <row r="1338" spans="1:4" ht="14" x14ac:dyDescent="0.15">
      <c r="A1338" s="322">
        <v>1849000842</v>
      </c>
      <c r="B1338" s="322" t="s">
        <v>1052</v>
      </c>
      <c r="D1338">
        <f t="shared" si="20"/>
        <v>1849000842</v>
      </c>
    </row>
    <row r="1339" spans="1:4" ht="14" x14ac:dyDescent="0.15">
      <c r="A1339" s="322">
        <v>1849000843</v>
      </c>
      <c r="B1339" s="322" t="s">
        <v>1053</v>
      </c>
      <c r="D1339">
        <f t="shared" si="20"/>
        <v>1849000843</v>
      </c>
    </row>
    <row r="1340" spans="1:4" ht="14" x14ac:dyDescent="0.15">
      <c r="A1340" s="322">
        <v>1849000844</v>
      </c>
      <c r="B1340" s="322" t="s">
        <v>1054</v>
      </c>
      <c r="D1340">
        <f t="shared" si="20"/>
        <v>1849000844</v>
      </c>
    </row>
    <row r="1341" spans="1:4" ht="14" x14ac:dyDescent="0.15">
      <c r="A1341" s="322">
        <v>1849000845</v>
      </c>
      <c r="B1341" s="322" t="s">
        <v>1055</v>
      </c>
      <c r="D1341">
        <f t="shared" si="20"/>
        <v>1849000845</v>
      </c>
    </row>
    <row r="1342" spans="1:4" ht="14" x14ac:dyDescent="0.15">
      <c r="A1342" s="322">
        <v>1849000846</v>
      </c>
      <c r="B1342" s="322" t="s">
        <v>1146</v>
      </c>
      <c r="D1342" t="e">
        <f t="shared" si="20"/>
        <v>#N/A</v>
      </c>
    </row>
    <row r="1343" spans="1:4" ht="14" x14ac:dyDescent="0.15">
      <c r="A1343" s="322">
        <v>1849000851</v>
      </c>
      <c r="B1343" s="322" t="s">
        <v>70</v>
      </c>
      <c r="D1343">
        <f t="shared" si="20"/>
        <v>1849000851</v>
      </c>
    </row>
    <row r="1344" spans="1:4" ht="14" x14ac:dyDescent="0.15">
      <c r="A1344" s="324">
        <v>1849000852</v>
      </c>
      <c r="B1344" s="322" t="s">
        <v>2087</v>
      </c>
      <c r="D1344" t="e">
        <f t="shared" si="20"/>
        <v>#N/A</v>
      </c>
    </row>
    <row r="1345" spans="1:4" ht="14" x14ac:dyDescent="0.15">
      <c r="A1345" s="322">
        <v>1849001841</v>
      </c>
      <c r="B1345" s="322" t="s">
        <v>1366</v>
      </c>
      <c r="D1345">
        <f t="shared" si="20"/>
        <v>1849001841</v>
      </c>
    </row>
    <row r="1346" spans="1:4" ht="14" x14ac:dyDescent="0.15">
      <c r="A1346" s="322">
        <v>1849001844</v>
      </c>
      <c r="B1346" s="322" t="s">
        <v>485</v>
      </c>
      <c r="D1346">
        <f t="shared" si="20"/>
        <v>1849001844</v>
      </c>
    </row>
    <row r="1347" spans="1:4" ht="14" x14ac:dyDescent="0.15">
      <c r="A1347" s="322">
        <v>1849001847</v>
      </c>
      <c r="B1347" s="322" t="s">
        <v>486</v>
      </c>
      <c r="D1347">
        <f t="shared" si="20"/>
        <v>1849001847</v>
      </c>
    </row>
    <row r="1348" spans="1:4" ht="14" x14ac:dyDescent="0.15">
      <c r="A1348" s="322">
        <v>1849001849</v>
      </c>
      <c r="B1348" s="322" t="s">
        <v>487</v>
      </c>
      <c r="D1348">
        <f t="shared" ref="D1348:D1411" si="21">VLOOKUP(A1348,$C$3:$C$1296,1,FALSE)</f>
        <v>1849001849</v>
      </c>
    </row>
    <row r="1349" spans="1:4" ht="14" x14ac:dyDescent="0.15">
      <c r="A1349" s="324">
        <v>1849002849</v>
      </c>
      <c r="B1349" s="322" t="s">
        <v>1056</v>
      </c>
      <c r="D1349" t="e">
        <f t="shared" si="21"/>
        <v>#N/A</v>
      </c>
    </row>
    <row r="1350" spans="1:4" ht="14" x14ac:dyDescent="0.15">
      <c r="A1350" s="322">
        <v>1849300840</v>
      </c>
      <c r="B1350" s="322" t="s">
        <v>1439</v>
      </c>
      <c r="D1350">
        <f t="shared" si="21"/>
        <v>1849300840</v>
      </c>
    </row>
    <row r="1351" spans="1:4" ht="14" x14ac:dyDescent="0.15">
      <c r="A1351" s="322">
        <v>1849999780</v>
      </c>
      <c r="B1351" s="322" t="s">
        <v>1165</v>
      </c>
      <c r="D1351" t="e">
        <f t="shared" si="21"/>
        <v>#N/A</v>
      </c>
    </row>
    <row r="1352" spans="1:4" ht="14" x14ac:dyDescent="0.15">
      <c r="A1352" s="324">
        <v>1851000430</v>
      </c>
      <c r="B1352" s="322" t="s">
        <v>2170</v>
      </c>
      <c r="D1352" t="e">
        <f t="shared" si="21"/>
        <v>#N/A</v>
      </c>
    </row>
    <row r="1353" spans="1:4" ht="14" x14ac:dyDescent="0.15">
      <c r="A1353" s="322">
        <v>1851000750</v>
      </c>
      <c r="B1353" s="322" t="s">
        <v>1915</v>
      </c>
      <c r="D1353">
        <f t="shared" si="21"/>
        <v>1851000750</v>
      </c>
    </row>
    <row r="1354" spans="1:4" ht="14" x14ac:dyDescent="0.15">
      <c r="A1354" s="322">
        <v>1851000780</v>
      </c>
      <c r="B1354" s="322" t="s">
        <v>1916</v>
      </c>
      <c r="D1354">
        <f t="shared" si="21"/>
        <v>1851000780</v>
      </c>
    </row>
    <row r="1355" spans="1:4" ht="14" x14ac:dyDescent="0.15">
      <c r="A1355" s="322">
        <v>1851000810</v>
      </c>
      <c r="B1355" s="322" t="s">
        <v>794</v>
      </c>
      <c r="D1355">
        <f t="shared" si="21"/>
        <v>1851000810</v>
      </c>
    </row>
    <row r="1356" spans="1:4" ht="14" x14ac:dyDescent="0.15">
      <c r="A1356" s="322">
        <v>1851000910</v>
      </c>
      <c r="B1356" s="322" t="s">
        <v>1628</v>
      </c>
      <c r="D1356">
        <f t="shared" si="21"/>
        <v>1851000910</v>
      </c>
    </row>
    <row r="1357" spans="1:4" ht="14" x14ac:dyDescent="0.15">
      <c r="A1357" s="322">
        <v>1860000410</v>
      </c>
      <c r="B1357" s="322" t="s">
        <v>873</v>
      </c>
      <c r="D1357">
        <f t="shared" si="21"/>
        <v>1860000410</v>
      </c>
    </row>
    <row r="1358" spans="1:4" ht="14" x14ac:dyDescent="0.15">
      <c r="A1358" s="322">
        <v>1860000470</v>
      </c>
      <c r="B1358" s="322" t="s">
        <v>884</v>
      </c>
      <c r="D1358">
        <f t="shared" si="21"/>
        <v>1860000470</v>
      </c>
    </row>
    <row r="1359" spans="1:4" ht="14" x14ac:dyDescent="0.15">
      <c r="A1359" s="322">
        <v>1860000511</v>
      </c>
      <c r="B1359" s="322" t="s">
        <v>1918</v>
      </c>
      <c r="D1359">
        <f t="shared" si="21"/>
        <v>1860000511</v>
      </c>
    </row>
    <row r="1360" spans="1:4" ht="14" x14ac:dyDescent="0.15">
      <c r="A1360" s="322">
        <v>1860000520</v>
      </c>
      <c r="B1360" s="322" t="s">
        <v>571</v>
      </c>
      <c r="D1360" t="e">
        <f t="shared" si="21"/>
        <v>#N/A</v>
      </c>
    </row>
    <row r="1361" spans="1:4" ht="14" x14ac:dyDescent="0.15">
      <c r="A1361" s="322">
        <v>1860000522</v>
      </c>
      <c r="B1361" s="322" t="s">
        <v>885</v>
      </c>
      <c r="D1361" t="e">
        <f t="shared" si="21"/>
        <v>#N/A</v>
      </c>
    </row>
    <row r="1362" spans="1:4" ht="14" x14ac:dyDescent="0.15">
      <c r="A1362" s="322">
        <v>1860000540</v>
      </c>
      <c r="B1362" s="322" t="s">
        <v>209</v>
      </c>
      <c r="D1362">
        <f t="shared" si="21"/>
        <v>1860000540</v>
      </c>
    </row>
    <row r="1363" spans="1:4" ht="14" x14ac:dyDescent="0.15">
      <c r="A1363" s="322">
        <v>1860000581</v>
      </c>
      <c r="B1363" s="322" t="s">
        <v>1919</v>
      </c>
      <c r="D1363">
        <f t="shared" si="21"/>
        <v>1860000581</v>
      </c>
    </row>
    <row r="1364" spans="1:4" ht="14" x14ac:dyDescent="0.15">
      <c r="A1364" s="322">
        <v>1860000780</v>
      </c>
      <c r="B1364" s="322" t="s">
        <v>580</v>
      </c>
      <c r="D1364">
        <f t="shared" si="21"/>
        <v>1860000780</v>
      </c>
    </row>
    <row r="1365" spans="1:4" ht="14" x14ac:dyDescent="0.15">
      <c r="A1365" s="322">
        <v>1860000910</v>
      </c>
      <c r="B1365" s="322" t="s">
        <v>741</v>
      </c>
      <c r="D1365">
        <f t="shared" si="21"/>
        <v>1860000910</v>
      </c>
    </row>
    <row r="1366" spans="1:4" ht="14" x14ac:dyDescent="0.15">
      <c r="A1366" s="324">
        <v>1860000930</v>
      </c>
      <c r="B1366" s="322" t="s">
        <v>2171</v>
      </c>
      <c r="D1366" t="e">
        <f t="shared" si="21"/>
        <v>#N/A</v>
      </c>
    </row>
    <row r="1367" spans="1:4" ht="14" x14ac:dyDescent="0.15">
      <c r="A1367" s="322">
        <v>1869000110</v>
      </c>
      <c r="B1367" s="322" t="s">
        <v>538</v>
      </c>
      <c r="D1367">
        <f t="shared" si="21"/>
        <v>1869000110</v>
      </c>
    </row>
    <row r="1368" spans="1:4" ht="14" x14ac:dyDescent="0.15">
      <c r="A1368" s="322">
        <v>1869000980</v>
      </c>
      <c r="B1368" s="322" t="s">
        <v>886</v>
      </c>
      <c r="D1368" t="e">
        <f t="shared" si="21"/>
        <v>#N/A</v>
      </c>
    </row>
    <row r="1369" spans="1:4" ht="14" x14ac:dyDescent="0.15">
      <c r="A1369" s="322">
        <v>1879000810</v>
      </c>
      <c r="B1369" s="322" t="s">
        <v>887</v>
      </c>
      <c r="D1369">
        <f t="shared" si="21"/>
        <v>1879000810</v>
      </c>
    </row>
    <row r="1370" spans="1:4" ht="14" x14ac:dyDescent="0.15">
      <c r="A1370" s="322">
        <v>1913000110</v>
      </c>
      <c r="B1370" s="322" t="s">
        <v>523</v>
      </c>
      <c r="D1370">
        <f t="shared" si="21"/>
        <v>1913000110</v>
      </c>
    </row>
    <row r="1371" spans="1:4" ht="14" x14ac:dyDescent="0.15">
      <c r="A1371" s="324">
        <v>1913000750</v>
      </c>
      <c r="B1371" s="322" t="s">
        <v>714</v>
      </c>
      <c r="D1371" t="e">
        <f t="shared" si="21"/>
        <v>#N/A</v>
      </c>
    </row>
    <row r="1372" spans="1:4" ht="14" x14ac:dyDescent="0.15">
      <c r="A1372" s="322">
        <v>1931000110</v>
      </c>
      <c r="B1372" s="322" t="s">
        <v>523</v>
      </c>
      <c r="D1372">
        <f t="shared" si="21"/>
        <v>1931000110</v>
      </c>
    </row>
    <row r="1373" spans="1:4" ht="14" x14ac:dyDescent="0.15">
      <c r="A1373" s="322">
        <v>1931000450</v>
      </c>
      <c r="B1373" s="322" t="s">
        <v>888</v>
      </c>
      <c r="D1373" t="e">
        <f t="shared" si="21"/>
        <v>#N/A</v>
      </c>
    </row>
    <row r="1374" spans="1:4" ht="14" x14ac:dyDescent="0.15">
      <c r="A1374" s="322">
        <v>1931000511</v>
      </c>
      <c r="B1374" s="322" t="s">
        <v>889</v>
      </c>
      <c r="D1374">
        <f t="shared" si="21"/>
        <v>1931000511</v>
      </c>
    </row>
    <row r="1375" spans="1:4" ht="14" x14ac:dyDescent="0.15">
      <c r="A1375" s="322">
        <v>1931000560</v>
      </c>
      <c r="B1375" s="322" t="s">
        <v>890</v>
      </c>
      <c r="D1375">
        <f t="shared" si="21"/>
        <v>1931000560</v>
      </c>
    </row>
    <row r="1376" spans="1:4" ht="14" x14ac:dyDescent="0.15">
      <c r="A1376" s="322">
        <v>1931000581</v>
      </c>
      <c r="B1376" s="322" t="s">
        <v>1920</v>
      </c>
      <c r="D1376">
        <f t="shared" si="21"/>
        <v>1931000581</v>
      </c>
    </row>
    <row r="1377" spans="1:4" ht="14" x14ac:dyDescent="0.15">
      <c r="A1377" s="322">
        <v>1931000731</v>
      </c>
      <c r="B1377" s="322" t="s">
        <v>129</v>
      </c>
      <c r="D1377" t="e">
        <f t="shared" si="21"/>
        <v>#N/A</v>
      </c>
    </row>
    <row r="1378" spans="1:4" ht="14" x14ac:dyDescent="0.15">
      <c r="A1378" s="322">
        <v>1931000750</v>
      </c>
      <c r="B1378" s="322" t="s">
        <v>714</v>
      </c>
      <c r="D1378">
        <f t="shared" si="21"/>
        <v>1931000750</v>
      </c>
    </row>
    <row r="1379" spans="1:4" ht="14" x14ac:dyDescent="0.15">
      <c r="A1379" s="322">
        <v>1931000751</v>
      </c>
      <c r="B1379" s="322" t="s">
        <v>1921</v>
      </c>
      <c r="D1379">
        <f t="shared" si="21"/>
        <v>1931000751</v>
      </c>
    </row>
    <row r="1380" spans="1:4" ht="14" x14ac:dyDescent="0.15">
      <c r="A1380" s="322">
        <v>1931000930</v>
      </c>
      <c r="B1380" s="322" t="s">
        <v>1922</v>
      </c>
      <c r="D1380">
        <f t="shared" si="21"/>
        <v>1931000930</v>
      </c>
    </row>
    <row r="1381" spans="1:4" ht="14" x14ac:dyDescent="0.15">
      <c r="A1381" s="322">
        <v>1931000980</v>
      </c>
      <c r="B1381" s="322" t="s">
        <v>580</v>
      </c>
      <c r="D1381">
        <f t="shared" si="21"/>
        <v>1931000980</v>
      </c>
    </row>
    <row r="1382" spans="1:4" ht="14" x14ac:dyDescent="0.15">
      <c r="A1382" s="322">
        <v>1937000110</v>
      </c>
      <c r="B1382" s="322" t="s">
        <v>523</v>
      </c>
      <c r="D1382">
        <f t="shared" si="21"/>
        <v>1937000110</v>
      </c>
    </row>
    <row r="1383" spans="1:4" ht="14" x14ac:dyDescent="0.15">
      <c r="A1383" s="322">
        <v>1937000430</v>
      </c>
      <c r="B1383" s="322" t="s">
        <v>1923</v>
      </c>
      <c r="D1383">
        <f t="shared" si="21"/>
        <v>1937000430</v>
      </c>
    </row>
    <row r="1384" spans="1:4" ht="14" x14ac:dyDescent="0.15">
      <c r="A1384" s="322">
        <v>1937000750</v>
      </c>
      <c r="B1384" s="322" t="s">
        <v>892</v>
      </c>
      <c r="D1384" t="e">
        <f t="shared" si="21"/>
        <v>#N/A</v>
      </c>
    </row>
    <row r="1385" spans="1:4" ht="14" x14ac:dyDescent="0.15">
      <c r="A1385" s="322">
        <v>1937000780</v>
      </c>
      <c r="B1385" s="322" t="s">
        <v>580</v>
      </c>
      <c r="D1385">
        <f t="shared" si="21"/>
        <v>1937000780</v>
      </c>
    </row>
    <row r="1386" spans="1:4" ht="14" x14ac:dyDescent="0.15">
      <c r="A1386" s="322">
        <v>1938000110</v>
      </c>
      <c r="B1386" s="322" t="s">
        <v>523</v>
      </c>
      <c r="D1386">
        <f t="shared" si="21"/>
        <v>1938000110</v>
      </c>
    </row>
    <row r="1387" spans="1:4" ht="14" x14ac:dyDescent="0.15">
      <c r="A1387" s="322">
        <v>1938000422</v>
      </c>
      <c r="B1387" s="322" t="s">
        <v>893</v>
      </c>
      <c r="D1387">
        <f t="shared" si="21"/>
        <v>1938000422</v>
      </c>
    </row>
    <row r="1388" spans="1:4" ht="14" x14ac:dyDescent="0.15">
      <c r="A1388" s="322">
        <v>1938000430</v>
      </c>
      <c r="B1388" s="322" t="s">
        <v>839</v>
      </c>
      <c r="D1388">
        <f t="shared" si="21"/>
        <v>1938000430</v>
      </c>
    </row>
    <row r="1389" spans="1:4" ht="14" x14ac:dyDescent="0.15">
      <c r="A1389" s="322">
        <v>1938000450</v>
      </c>
      <c r="B1389" s="322" t="s">
        <v>894</v>
      </c>
      <c r="D1389">
        <f t="shared" si="21"/>
        <v>1938000450</v>
      </c>
    </row>
    <row r="1390" spans="1:4" ht="14" x14ac:dyDescent="0.15">
      <c r="A1390" s="322">
        <v>1938000511</v>
      </c>
      <c r="B1390" s="322" t="s">
        <v>895</v>
      </c>
      <c r="D1390">
        <f t="shared" si="21"/>
        <v>1938000511</v>
      </c>
    </row>
    <row r="1391" spans="1:4" ht="14" x14ac:dyDescent="0.15">
      <c r="A1391" s="322">
        <v>1938000530</v>
      </c>
      <c r="B1391" s="322" t="s">
        <v>2172</v>
      </c>
      <c r="D1391">
        <f t="shared" si="21"/>
        <v>1938000530</v>
      </c>
    </row>
    <row r="1392" spans="1:4" ht="14" x14ac:dyDescent="0.15">
      <c r="A1392" s="322">
        <v>1938000540</v>
      </c>
      <c r="B1392" s="322" t="s">
        <v>875</v>
      </c>
      <c r="D1392">
        <f t="shared" si="21"/>
        <v>1938000540</v>
      </c>
    </row>
    <row r="1393" spans="1:4" ht="14" x14ac:dyDescent="0.15">
      <c r="A1393" s="322">
        <v>1938000560</v>
      </c>
      <c r="B1393" s="322" t="s">
        <v>664</v>
      </c>
      <c r="D1393">
        <f t="shared" si="21"/>
        <v>1938000560</v>
      </c>
    </row>
    <row r="1394" spans="1:4" ht="14" x14ac:dyDescent="0.15">
      <c r="A1394" s="322">
        <v>1938000570</v>
      </c>
      <c r="B1394" s="322" t="s">
        <v>896</v>
      </c>
      <c r="D1394">
        <f t="shared" si="21"/>
        <v>1938000570</v>
      </c>
    </row>
    <row r="1395" spans="1:4" ht="14" x14ac:dyDescent="0.15">
      <c r="A1395" s="322">
        <v>1938000571</v>
      </c>
      <c r="B1395" s="322" t="s">
        <v>897</v>
      </c>
      <c r="D1395">
        <f t="shared" si="21"/>
        <v>1938000571</v>
      </c>
    </row>
    <row r="1396" spans="1:4" ht="14" x14ac:dyDescent="0.15">
      <c r="A1396" s="322">
        <v>1938000581</v>
      </c>
      <c r="B1396" s="322" t="s">
        <v>1924</v>
      </c>
      <c r="D1396">
        <f t="shared" si="21"/>
        <v>1938000581</v>
      </c>
    </row>
    <row r="1397" spans="1:4" ht="14" x14ac:dyDescent="0.15">
      <c r="A1397" s="322">
        <v>1938000731</v>
      </c>
      <c r="B1397" s="322" t="s">
        <v>217</v>
      </c>
      <c r="D1397" t="e">
        <f t="shared" si="21"/>
        <v>#N/A</v>
      </c>
    </row>
    <row r="1398" spans="1:4" ht="14" x14ac:dyDescent="0.15">
      <c r="A1398" s="322">
        <v>1938000740</v>
      </c>
      <c r="B1398" s="322" t="s">
        <v>737</v>
      </c>
      <c r="D1398">
        <f t="shared" si="21"/>
        <v>1938000740</v>
      </c>
    </row>
    <row r="1399" spans="1:4" ht="14" x14ac:dyDescent="0.15">
      <c r="A1399" s="322">
        <v>1938000750</v>
      </c>
      <c r="B1399" s="322" t="s">
        <v>899</v>
      </c>
      <c r="D1399">
        <f t="shared" si="21"/>
        <v>1938000750</v>
      </c>
    </row>
    <row r="1400" spans="1:4" ht="14" x14ac:dyDescent="0.15">
      <c r="A1400" s="322">
        <v>1938000751</v>
      </c>
      <c r="B1400" s="322" t="s">
        <v>714</v>
      </c>
      <c r="D1400">
        <f t="shared" si="21"/>
        <v>1938000751</v>
      </c>
    </row>
    <row r="1401" spans="1:4" ht="14" x14ac:dyDescent="0.15">
      <c r="A1401" s="322">
        <v>1938000752</v>
      </c>
      <c r="B1401" s="322" t="s">
        <v>1629</v>
      </c>
      <c r="D1401">
        <f t="shared" si="21"/>
        <v>1938000752</v>
      </c>
    </row>
    <row r="1402" spans="1:4" ht="14" x14ac:dyDescent="0.15">
      <c r="A1402" s="322">
        <v>1938000760</v>
      </c>
      <c r="B1402" s="322" t="s">
        <v>900</v>
      </c>
      <c r="D1402">
        <f t="shared" si="21"/>
        <v>1938000760</v>
      </c>
    </row>
    <row r="1403" spans="1:4" ht="14" x14ac:dyDescent="0.15">
      <c r="A1403" s="322">
        <v>1938000780</v>
      </c>
      <c r="B1403" s="322" t="s">
        <v>580</v>
      </c>
      <c r="D1403">
        <f t="shared" si="21"/>
        <v>1938000780</v>
      </c>
    </row>
    <row r="1404" spans="1:4" ht="14" x14ac:dyDescent="0.15">
      <c r="A1404" s="322">
        <v>1938000910</v>
      </c>
      <c r="B1404" s="322" t="s">
        <v>901</v>
      </c>
      <c r="D1404" t="e">
        <f t="shared" si="21"/>
        <v>#N/A</v>
      </c>
    </row>
    <row r="1405" spans="1:4" ht="14" x14ac:dyDescent="0.15">
      <c r="A1405" s="324">
        <v>1938000930</v>
      </c>
      <c r="B1405" s="322" t="s">
        <v>2173</v>
      </c>
      <c r="D1405" t="e">
        <f t="shared" si="21"/>
        <v>#N/A</v>
      </c>
    </row>
    <row r="1406" spans="1:4" ht="14" x14ac:dyDescent="0.15">
      <c r="A1406" s="322">
        <v>1938000980</v>
      </c>
      <c r="B1406" s="322" t="s">
        <v>580</v>
      </c>
      <c r="D1406">
        <f t="shared" si="21"/>
        <v>1938000980</v>
      </c>
    </row>
    <row r="1407" spans="1:4" ht="14" x14ac:dyDescent="0.15">
      <c r="A1407" s="322">
        <v>1938000981</v>
      </c>
      <c r="B1407" s="322" t="s">
        <v>74</v>
      </c>
      <c r="D1407" t="e">
        <f t="shared" si="21"/>
        <v>#N/A</v>
      </c>
    </row>
    <row r="1408" spans="1:4" ht="14" x14ac:dyDescent="0.15">
      <c r="A1408" s="322">
        <v>1938001731</v>
      </c>
      <c r="B1408" s="322" t="s">
        <v>1925</v>
      </c>
      <c r="D1408">
        <f t="shared" si="21"/>
        <v>1938001731</v>
      </c>
    </row>
    <row r="1409" spans="1:4" ht="14" x14ac:dyDescent="0.15">
      <c r="A1409" s="322">
        <v>1938010110</v>
      </c>
      <c r="B1409" s="322" t="s">
        <v>1476</v>
      </c>
      <c r="D1409" t="e">
        <f t="shared" si="21"/>
        <v>#N/A</v>
      </c>
    </row>
    <row r="1410" spans="1:4" ht="14" x14ac:dyDescent="0.15">
      <c r="A1410" s="322">
        <v>1938100110</v>
      </c>
      <c r="B1410" s="322" t="s">
        <v>523</v>
      </c>
      <c r="D1410">
        <f t="shared" si="21"/>
        <v>1938100110</v>
      </c>
    </row>
    <row r="1411" spans="1:4" ht="14" x14ac:dyDescent="0.15">
      <c r="A1411" s="322">
        <v>1938100560</v>
      </c>
      <c r="B1411" s="322" t="s">
        <v>820</v>
      </c>
      <c r="D1411" t="e">
        <f t="shared" si="21"/>
        <v>#N/A</v>
      </c>
    </row>
    <row r="1412" spans="1:4" ht="14" x14ac:dyDescent="0.15">
      <c r="A1412" s="322">
        <v>1938100780</v>
      </c>
      <c r="B1412" s="322" t="s">
        <v>580</v>
      </c>
      <c r="D1412">
        <f t="shared" ref="D1412:D1471" si="22">VLOOKUP(A1412,$C$3:$C$1296,1,FALSE)</f>
        <v>1938100780</v>
      </c>
    </row>
    <row r="1413" spans="1:4" ht="14" x14ac:dyDescent="0.15">
      <c r="A1413" s="322">
        <v>1938200110</v>
      </c>
      <c r="B1413" s="322" t="s">
        <v>2174</v>
      </c>
      <c r="D1413">
        <f t="shared" si="22"/>
        <v>1938200110</v>
      </c>
    </row>
    <row r="1414" spans="1:4" ht="14" x14ac:dyDescent="0.15">
      <c r="A1414" s="322">
        <v>1938200511</v>
      </c>
      <c r="B1414" s="322" t="s">
        <v>2040</v>
      </c>
      <c r="D1414">
        <f t="shared" si="22"/>
        <v>1938200511</v>
      </c>
    </row>
    <row r="1415" spans="1:4" ht="14" x14ac:dyDescent="0.15">
      <c r="A1415" s="322">
        <v>1938200521</v>
      </c>
      <c r="B1415" s="322" t="s">
        <v>2175</v>
      </c>
      <c r="D1415">
        <f t="shared" si="22"/>
        <v>1938200521</v>
      </c>
    </row>
    <row r="1416" spans="1:4" ht="14" x14ac:dyDescent="0.15">
      <c r="A1416" s="322">
        <v>1938200560</v>
      </c>
      <c r="B1416" s="322" t="s">
        <v>2041</v>
      </c>
      <c r="D1416">
        <f t="shared" si="22"/>
        <v>1938200560</v>
      </c>
    </row>
    <row r="1417" spans="1:4" ht="14" x14ac:dyDescent="0.15">
      <c r="A1417" s="322">
        <v>1938200570</v>
      </c>
      <c r="B1417" s="322" t="s">
        <v>2042</v>
      </c>
      <c r="D1417">
        <f t="shared" si="22"/>
        <v>1938200570</v>
      </c>
    </row>
    <row r="1418" spans="1:4" ht="14" x14ac:dyDescent="0.15">
      <c r="A1418" s="322">
        <v>1938200581</v>
      </c>
      <c r="B1418" s="322" t="s">
        <v>2043</v>
      </c>
      <c r="D1418">
        <f t="shared" si="22"/>
        <v>1938200581</v>
      </c>
    </row>
    <row r="1419" spans="1:4" ht="14" x14ac:dyDescent="0.15">
      <c r="A1419" s="324">
        <v>1938200780</v>
      </c>
      <c r="B1419" s="322" t="s">
        <v>2044</v>
      </c>
      <c r="D1419" t="e">
        <f t="shared" si="22"/>
        <v>#N/A</v>
      </c>
    </row>
    <row r="1420" spans="1:4" ht="14" x14ac:dyDescent="0.15">
      <c r="A1420" s="322">
        <v>1938200930</v>
      </c>
      <c r="B1420" s="322" t="s">
        <v>2045</v>
      </c>
      <c r="D1420">
        <f t="shared" si="22"/>
        <v>1938200930</v>
      </c>
    </row>
    <row r="1421" spans="1:4" ht="14" x14ac:dyDescent="0.15">
      <c r="A1421" s="322">
        <v>1939000110</v>
      </c>
      <c r="B1421" s="322" t="s">
        <v>523</v>
      </c>
      <c r="D1421">
        <f t="shared" si="22"/>
        <v>1939000110</v>
      </c>
    </row>
    <row r="1422" spans="1:4" ht="14" x14ac:dyDescent="0.15">
      <c r="A1422" s="322">
        <v>1939000210</v>
      </c>
      <c r="B1422" s="322" t="s">
        <v>1475</v>
      </c>
      <c r="D1422" t="e">
        <f t="shared" si="22"/>
        <v>#N/A</v>
      </c>
    </row>
    <row r="1423" spans="1:4" ht="14" x14ac:dyDescent="0.15">
      <c r="A1423" s="322">
        <v>1939000410</v>
      </c>
      <c r="B1423" s="322" t="s">
        <v>902</v>
      </c>
      <c r="D1423">
        <f t="shared" si="22"/>
        <v>1939000410</v>
      </c>
    </row>
    <row r="1424" spans="1:4" ht="14" x14ac:dyDescent="0.15">
      <c r="A1424" s="324">
        <v>1939000430</v>
      </c>
      <c r="B1424" s="322" t="s">
        <v>2176</v>
      </c>
      <c r="D1424" t="e">
        <f t="shared" si="22"/>
        <v>#N/A</v>
      </c>
    </row>
    <row r="1425" spans="1:4" ht="14" x14ac:dyDescent="0.15">
      <c r="A1425" s="322">
        <v>1939000511</v>
      </c>
      <c r="B1425" s="322" t="s">
        <v>220</v>
      </c>
      <c r="D1425">
        <f t="shared" si="22"/>
        <v>1939000511</v>
      </c>
    </row>
    <row r="1426" spans="1:4" ht="14" x14ac:dyDescent="0.15">
      <c r="A1426" s="322">
        <v>1939000560</v>
      </c>
      <c r="B1426" s="322" t="s">
        <v>820</v>
      </c>
      <c r="D1426">
        <f t="shared" si="22"/>
        <v>1939000560</v>
      </c>
    </row>
    <row r="1427" spans="1:4" ht="14" x14ac:dyDescent="0.15">
      <c r="A1427" s="322">
        <v>1939000570</v>
      </c>
      <c r="B1427" s="322" t="s">
        <v>1666</v>
      </c>
      <c r="D1427">
        <f t="shared" si="22"/>
        <v>1939000570</v>
      </c>
    </row>
    <row r="1428" spans="1:4" ht="14" x14ac:dyDescent="0.15">
      <c r="A1428" s="322">
        <v>1939000581</v>
      </c>
      <c r="B1428" s="322" t="s">
        <v>1926</v>
      </c>
      <c r="D1428">
        <f t="shared" si="22"/>
        <v>1939000581</v>
      </c>
    </row>
    <row r="1429" spans="1:4" ht="14" x14ac:dyDescent="0.15">
      <c r="A1429" s="322">
        <v>1939000730</v>
      </c>
      <c r="B1429" s="322" t="s">
        <v>903</v>
      </c>
      <c r="D1429">
        <f t="shared" si="22"/>
        <v>1939000730</v>
      </c>
    </row>
    <row r="1430" spans="1:4" ht="14" x14ac:dyDescent="0.15">
      <c r="A1430" s="322">
        <v>1939000731</v>
      </c>
      <c r="B1430" s="322" t="s">
        <v>221</v>
      </c>
      <c r="D1430">
        <f t="shared" si="22"/>
        <v>1939000731</v>
      </c>
    </row>
    <row r="1431" spans="1:4" ht="14" x14ac:dyDescent="0.15">
      <c r="A1431" s="322">
        <v>1939000750</v>
      </c>
      <c r="B1431" s="322" t="s">
        <v>1551</v>
      </c>
      <c r="D1431">
        <f t="shared" si="22"/>
        <v>1939000750</v>
      </c>
    </row>
    <row r="1432" spans="1:4" ht="14" x14ac:dyDescent="0.15">
      <c r="A1432" s="322">
        <v>1939000751</v>
      </c>
      <c r="B1432" s="322" t="s">
        <v>714</v>
      </c>
      <c r="D1432">
        <f t="shared" si="22"/>
        <v>1939000751</v>
      </c>
    </row>
    <row r="1433" spans="1:4" ht="14" x14ac:dyDescent="0.15">
      <c r="A1433" s="322">
        <v>1939000780</v>
      </c>
      <c r="B1433" s="322" t="s">
        <v>580</v>
      </c>
      <c r="D1433">
        <f t="shared" si="22"/>
        <v>1939000780</v>
      </c>
    </row>
    <row r="1434" spans="1:4" ht="14" x14ac:dyDescent="0.15">
      <c r="A1434" s="322">
        <v>1939000910</v>
      </c>
      <c r="B1434" s="322" t="s">
        <v>1630</v>
      </c>
      <c r="D1434">
        <f t="shared" si="22"/>
        <v>1939000910</v>
      </c>
    </row>
    <row r="1435" spans="1:4" ht="14" x14ac:dyDescent="0.15">
      <c r="A1435" s="322">
        <v>1939000980</v>
      </c>
      <c r="B1435" s="322" t="s">
        <v>580</v>
      </c>
      <c r="D1435">
        <f t="shared" si="22"/>
        <v>1939000980</v>
      </c>
    </row>
    <row r="1436" spans="1:4" ht="14" x14ac:dyDescent="0.15">
      <c r="A1436" s="322">
        <v>1939000981</v>
      </c>
      <c r="B1436" s="322" t="s">
        <v>74</v>
      </c>
      <c r="D1436" t="e">
        <f t="shared" si="22"/>
        <v>#N/A</v>
      </c>
    </row>
    <row r="1437" spans="1:4" ht="14" x14ac:dyDescent="0.15">
      <c r="A1437" s="322">
        <v>1939001731</v>
      </c>
      <c r="B1437" s="322" t="s">
        <v>221</v>
      </c>
      <c r="D1437" t="e">
        <f t="shared" si="22"/>
        <v>#N/A</v>
      </c>
    </row>
    <row r="1438" spans="1:4" ht="14" x14ac:dyDescent="0.15">
      <c r="A1438" s="322">
        <v>1939002530</v>
      </c>
      <c r="B1438" s="322" t="s">
        <v>1631</v>
      </c>
      <c r="D1438">
        <f t="shared" si="22"/>
        <v>1939002530</v>
      </c>
    </row>
    <row r="1439" spans="1:4" ht="14" x14ac:dyDescent="0.15">
      <c r="A1439" s="322">
        <v>1939002731</v>
      </c>
      <c r="B1439" s="322" t="s">
        <v>1473</v>
      </c>
      <c r="D1439" t="e">
        <f t="shared" si="22"/>
        <v>#N/A</v>
      </c>
    </row>
    <row r="1440" spans="1:4" ht="14" x14ac:dyDescent="0.15">
      <c r="A1440" s="322">
        <v>1939003530</v>
      </c>
      <c r="B1440" s="322" t="s">
        <v>1632</v>
      </c>
      <c r="D1440">
        <f t="shared" si="22"/>
        <v>1939003530</v>
      </c>
    </row>
    <row r="1441" spans="1:4" ht="14" x14ac:dyDescent="0.15">
      <c r="A1441" s="322">
        <v>1939003731</v>
      </c>
      <c r="B1441" s="322" t="s">
        <v>2177</v>
      </c>
      <c r="D1441">
        <f t="shared" si="22"/>
        <v>1939003731</v>
      </c>
    </row>
    <row r="1442" spans="1:4" ht="14" x14ac:dyDescent="0.15">
      <c r="A1442" s="322">
        <v>1939004731</v>
      </c>
      <c r="B1442" s="322" t="s">
        <v>906</v>
      </c>
      <c r="D1442">
        <f t="shared" si="22"/>
        <v>1939004731</v>
      </c>
    </row>
    <row r="1443" spans="1:4" ht="14" x14ac:dyDescent="0.15">
      <c r="A1443" s="322">
        <v>1939006731</v>
      </c>
      <c r="B1443" s="322" t="s">
        <v>907</v>
      </c>
      <c r="D1443">
        <f t="shared" si="22"/>
        <v>1939006731</v>
      </c>
    </row>
    <row r="1444" spans="1:4" ht="14" x14ac:dyDescent="0.15">
      <c r="A1444" s="322">
        <v>1939009731</v>
      </c>
      <c r="B1444" s="322" t="s">
        <v>131</v>
      </c>
      <c r="D1444" t="e">
        <f t="shared" si="22"/>
        <v>#N/A</v>
      </c>
    </row>
    <row r="1445" spans="1:4" ht="14" x14ac:dyDescent="0.15">
      <c r="A1445" s="322">
        <v>1939011731</v>
      </c>
      <c r="B1445" s="322" t="s">
        <v>908</v>
      </c>
      <c r="D1445">
        <f t="shared" si="22"/>
        <v>1939011731</v>
      </c>
    </row>
    <row r="1446" spans="1:4" ht="14" x14ac:dyDescent="0.15">
      <c r="A1446" s="322">
        <v>1939012731</v>
      </c>
      <c r="B1446" s="322" t="s">
        <v>909</v>
      </c>
      <c r="D1446">
        <f t="shared" si="22"/>
        <v>1939012731</v>
      </c>
    </row>
    <row r="1447" spans="1:4" ht="14" x14ac:dyDescent="0.15">
      <c r="A1447" s="322">
        <v>1939013731</v>
      </c>
      <c r="B1447" s="322" t="s">
        <v>910</v>
      </c>
      <c r="D1447">
        <f t="shared" si="22"/>
        <v>1939013731</v>
      </c>
    </row>
    <row r="1448" spans="1:4" ht="14" x14ac:dyDescent="0.15">
      <c r="A1448" s="322">
        <v>1939014530</v>
      </c>
      <c r="B1448" s="322" t="s">
        <v>1471</v>
      </c>
      <c r="D1448">
        <f t="shared" si="22"/>
        <v>1939014530</v>
      </c>
    </row>
    <row r="1449" spans="1:4" ht="14" x14ac:dyDescent="0.15">
      <c r="A1449" s="322">
        <v>1939014731</v>
      </c>
      <c r="B1449" s="322" t="s">
        <v>1471</v>
      </c>
      <c r="D1449" t="e">
        <f t="shared" si="22"/>
        <v>#N/A</v>
      </c>
    </row>
    <row r="1450" spans="1:4" ht="14" x14ac:dyDescent="0.15">
      <c r="A1450" s="322">
        <v>1939015731</v>
      </c>
      <c r="B1450" s="322" t="s">
        <v>1470</v>
      </c>
      <c r="D1450">
        <f t="shared" si="22"/>
        <v>1939015731</v>
      </c>
    </row>
    <row r="1451" spans="1:4" ht="14" x14ac:dyDescent="0.15">
      <c r="A1451" s="322">
        <v>1939016731</v>
      </c>
      <c r="B1451" s="322" t="s">
        <v>1928</v>
      </c>
      <c r="D1451">
        <f t="shared" si="22"/>
        <v>1939016731</v>
      </c>
    </row>
    <row r="1452" spans="1:4" ht="14" x14ac:dyDescent="0.15">
      <c r="A1452" s="322">
        <v>1939019731</v>
      </c>
      <c r="B1452" s="322" t="s">
        <v>2178</v>
      </c>
      <c r="D1452">
        <f t="shared" si="22"/>
        <v>1939019731</v>
      </c>
    </row>
    <row r="1453" spans="1:4" ht="14" x14ac:dyDescent="0.15">
      <c r="A1453" s="322">
        <v>1939033731</v>
      </c>
      <c r="B1453" s="322" t="s">
        <v>1469</v>
      </c>
      <c r="D1453">
        <f t="shared" si="22"/>
        <v>1939033731</v>
      </c>
    </row>
    <row r="1454" spans="1:4" ht="14" x14ac:dyDescent="0.15">
      <c r="A1454" s="322">
        <v>1939043731</v>
      </c>
      <c r="B1454" s="322" t="s">
        <v>2179</v>
      </c>
      <c r="D1454">
        <f t="shared" si="22"/>
        <v>1939043731</v>
      </c>
    </row>
    <row r="1455" spans="1:4" ht="14" x14ac:dyDescent="0.15">
      <c r="A1455" s="322">
        <v>1939100530</v>
      </c>
      <c r="B1455" s="322" t="s">
        <v>1467</v>
      </c>
      <c r="D1455" t="e">
        <f t="shared" si="22"/>
        <v>#N/A</v>
      </c>
    </row>
    <row r="1456" spans="1:4" ht="14" x14ac:dyDescent="0.15">
      <c r="A1456" s="322">
        <v>1939100730</v>
      </c>
      <c r="B1456" s="322" t="s">
        <v>1466</v>
      </c>
      <c r="D1456">
        <f t="shared" si="22"/>
        <v>1939100730</v>
      </c>
    </row>
    <row r="1457" spans="1:4" ht="14" x14ac:dyDescent="0.15">
      <c r="A1457" s="322">
        <v>1939111731</v>
      </c>
      <c r="B1457" s="322" t="s">
        <v>225</v>
      </c>
      <c r="D1457" t="e">
        <f t="shared" si="22"/>
        <v>#N/A</v>
      </c>
    </row>
    <row r="1458" spans="1:4" ht="14" x14ac:dyDescent="0.15">
      <c r="A1458" s="322">
        <v>1939200731</v>
      </c>
      <c r="B1458" s="322" t="s">
        <v>1331</v>
      </c>
      <c r="D1458">
        <f t="shared" si="22"/>
        <v>1939200731</v>
      </c>
    </row>
    <row r="1459" spans="1:4" ht="14" x14ac:dyDescent="0.15">
      <c r="A1459" s="322">
        <v>1939300731</v>
      </c>
      <c r="B1459" s="322" t="s">
        <v>1648</v>
      </c>
      <c r="D1459">
        <f t="shared" si="22"/>
        <v>1939300731</v>
      </c>
    </row>
    <row r="1460" spans="1:4" ht="14" x14ac:dyDescent="0.15">
      <c r="A1460" s="322">
        <v>1972000110</v>
      </c>
      <c r="B1460" s="322" t="s">
        <v>523</v>
      </c>
      <c r="D1460" t="e">
        <f t="shared" si="22"/>
        <v>#N/A</v>
      </c>
    </row>
    <row r="1461" spans="1:4" ht="14" x14ac:dyDescent="0.15">
      <c r="A1461" s="322">
        <v>1972000750</v>
      </c>
      <c r="B1461" s="322" t="s">
        <v>912</v>
      </c>
      <c r="D1461">
        <f t="shared" si="22"/>
        <v>1972000750</v>
      </c>
    </row>
    <row r="1462" spans="1:4" ht="14" x14ac:dyDescent="0.15">
      <c r="A1462" s="322">
        <v>1972000770</v>
      </c>
      <c r="B1462" s="322" t="s">
        <v>740</v>
      </c>
      <c r="D1462">
        <f t="shared" si="22"/>
        <v>1972000770</v>
      </c>
    </row>
    <row r="1463" spans="1:4" ht="14" x14ac:dyDescent="0.15">
      <c r="A1463" s="322">
        <v>1972000780</v>
      </c>
      <c r="B1463" s="322" t="s">
        <v>913</v>
      </c>
      <c r="D1463" t="e">
        <f t="shared" si="22"/>
        <v>#N/A</v>
      </c>
    </row>
    <row r="1464" spans="1:4" ht="14" x14ac:dyDescent="0.15">
      <c r="A1464" s="322">
        <v>1980000310</v>
      </c>
      <c r="B1464" s="322" t="s">
        <v>539</v>
      </c>
      <c r="D1464">
        <f t="shared" si="22"/>
        <v>1980000310</v>
      </c>
    </row>
    <row r="1465" spans="1:4" ht="14" x14ac:dyDescent="0.15">
      <c r="A1465" s="322">
        <v>1980000312</v>
      </c>
      <c r="B1465" s="322" t="s">
        <v>540</v>
      </c>
      <c r="D1465">
        <f t="shared" si="22"/>
        <v>1980000312</v>
      </c>
    </row>
    <row r="1466" spans="1:4" ht="14" x14ac:dyDescent="0.15">
      <c r="A1466" s="322">
        <v>1991000110</v>
      </c>
      <c r="B1466" s="322" t="s">
        <v>1267</v>
      </c>
      <c r="D1466">
        <f t="shared" si="22"/>
        <v>1991000110</v>
      </c>
    </row>
    <row r="1467" spans="1:4" ht="14" x14ac:dyDescent="0.15">
      <c r="A1467" s="322">
        <v>1991000310</v>
      </c>
      <c r="B1467" s="322" t="s">
        <v>539</v>
      </c>
      <c r="D1467">
        <f t="shared" si="22"/>
        <v>1991000310</v>
      </c>
    </row>
    <row r="1468" spans="1:4" ht="14" x14ac:dyDescent="0.15">
      <c r="A1468" s="322">
        <v>1991000320</v>
      </c>
      <c r="B1468" s="322" t="s">
        <v>541</v>
      </c>
      <c r="D1468">
        <f t="shared" si="22"/>
        <v>1991000320</v>
      </c>
    </row>
    <row r="1469" spans="1:4" ht="14" x14ac:dyDescent="0.15">
      <c r="A1469" s="322">
        <v>1991000523</v>
      </c>
      <c r="B1469" s="322" t="s">
        <v>1075</v>
      </c>
      <c r="D1469">
        <f t="shared" si="22"/>
        <v>1991000523</v>
      </c>
    </row>
    <row r="1470" spans="1:4" ht="14" x14ac:dyDescent="0.15">
      <c r="A1470" s="322">
        <v>1993000980</v>
      </c>
      <c r="B1470" s="322" t="s">
        <v>1076</v>
      </c>
      <c r="D1470">
        <f t="shared" si="22"/>
        <v>1993000980</v>
      </c>
    </row>
    <row r="1471" spans="1:4" ht="14" x14ac:dyDescent="0.15">
      <c r="A1471" s="322">
        <v>1995000860</v>
      </c>
      <c r="B1471" s="322" t="s">
        <v>1078</v>
      </c>
      <c r="D1471">
        <f t="shared" si="22"/>
        <v>1995000860</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470"/>
  <sheetViews>
    <sheetView rightToLeft="1" topLeftCell="A316" workbookViewId="0">
      <selection activeCell="G341" sqref="G341"/>
    </sheetView>
  </sheetViews>
  <sheetFormatPr baseColWidth="10" defaultColWidth="8.83203125" defaultRowHeight="13" x14ac:dyDescent="0.15"/>
  <cols>
    <col min="1" max="1" width="12.5" bestFit="1" customWidth="1"/>
    <col min="5" max="5" width="12.5" bestFit="1" customWidth="1"/>
    <col min="7" max="7" width="11" bestFit="1" customWidth="1"/>
  </cols>
  <sheetData>
    <row r="1" spans="1:7" x14ac:dyDescent="0.15">
      <c r="A1" t="s">
        <v>2181</v>
      </c>
    </row>
    <row r="2" spans="1:7" ht="14" x14ac:dyDescent="0.15">
      <c r="A2" s="322">
        <v>1111100100</v>
      </c>
      <c r="B2" s="322" t="s">
        <v>273</v>
      </c>
      <c r="E2" s="182">
        <v>1111100100</v>
      </c>
      <c r="G2">
        <f>VLOOKUP(A2,$E$2:$E$1373,1,FALSE)</f>
        <v>1111100100</v>
      </c>
    </row>
    <row r="3" spans="1:7" ht="14" x14ac:dyDescent="0.15">
      <c r="A3" s="322">
        <v>1111200100</v>
      </c>
      <c r="B3" s="322" t="s">
        <v>274</v>
      </c>
      <c r="E3" s="182">
        <v>1111200100</v>
      </c>
      <c r="G3">
        <f t="shared" ref="G3:G66" si="0">VLOOKUP(A3,$E$2:$E$1373,1,FALSE)</f>
        <v>1111200100</v>
      </c>
    </row>
    <row r="4" spans="1:7" ht="14" x14ac:dyDescent="0.15">
      <c r="A4" s="322">
        <v>1111200216</v>
      </c>
      <c r="B4" s="322" t="s">
        <v>1369</v>
      </c>
      <c r="E4" s="163">
        <v>1111200216</v>
      </c>
      <c r="G4">
        <f t="shared" si="0"/>
        <v>1111200216</v>
      </c>
    </row>
    <row r="5" spans="1:7" ht="14" x14ac:dyDescent="0.15">
      <c r="A5" s="322">
        <v>1111300291</v>
      </c>
      <c r="B5" s="322" t="s">
        <v>275</v>
      </c>
      <c r="E5" s="182">
        <v>1111300291</v>
      </c>
      <c r="G5">
        <f t="shared" si="0"/>
        <v>1111300291</v>
      </c>
    </row>
    <row r="6" spans="1:7" ht="14" x14ac:dyDescent="0.15">
      <c r="A6" s="322">
        <v>1111400100</v>
      </c>
      <c r="B6" s="322" t="s">
        <v>276</v>
      </c>
      <c r="E6" s="182">
        <v>1111400100</v>
      </c>
      <c r="G6">
        <f t="shared" si="0"/>
        <v>1111400100</v>
      </c>
    </row>
    <row r="7" spans="1:7" ht="14" x14ac:dyDescent="0.15">
      <c r="A7" s="322">
        <v>1113000290</v>
      </c>
      <c r="B7" s="322" t="s">
        <v>505</v>
      </c>
      <c r="E7" s="182"/>
      <c r="G7">
        <f t="shared" si="0"/>
        <v>1113000290</v>
      </c>
    </row>
    <row r="8" spans="1:7" ht="14" x14ac:dyDescent="0.15">
      <c r="A8" s="322">
        <v>1121000220</v>
      </c>
      <c r="B8" s="322" t="s">
        <v>1542</v>
      </c>
      <c r="E8" s="182">
        <v>1113000290</v>
      </c>
      <c r="G8">
        <f t="shared" si="0"/>
        <v>1121000220</v>
      </c>
    </row>
    <row r="9" spans="1:7" ht="14" x14ac:dyDescent="0.15">
      <c r="A9" s="322">
        <v>1122000220</v>
      </c>
      <c r="B9" s="322" t="s">
        <v>308</v>
      </c>
      <c r="E9" s="182"/>
      <c r="G9">
        <f t="shared" si="0"/>
        <v>1122000220</v>
      </c>
    </row>
    <row r="10" spans="1:7" ht="14" x14ac:dyDescent="0.15">
      <c r="A10" s="322">
        <v>1122000221</v>
      </c>
      <c r="B10" s="322" t="s">
        <v>1370</v>
      </c>
      <c r="E10">
        <v>1121000220</v>
      </c>
      <c r="G10">
        <f t="shared" si="0"/>
        <v>1122000221</v>
      </c>
    </row>
    <row r="11" spans="1:7" ht="14" x14ac:dyDescent="0.15">
      <c r="A11" s="322">
        <v>1123000220</v>
      </c>
      <c r="B11" s="322" t="s">
        <v>1171</v>
      </c>
      <c r="E11">
        <v>1122000220</v>
      </c>
      <c r="G11">
        <f t="shared" si="0"/>
        <v>1123000220</v>
      </c>
    </row>
    <row r="12" spans="1:7" ht="14" x14ac:dyDescent="0.15">
      <c r="A12" s="322">
        <v>1124100220</v>
      </c>
      <c r="B12" s="322" t="s">
        <v>309</v>
      </c>
      <c r="E12">
        <v>1122000221</v>
      </c>
      <c r="G12">
        <f t="shared" si="0"/>
        <v>1124100220</v>
      </c>
    </row>
    <row r="13" spans="1:7" ht="14" x14ac:dyDescent="0.15">
      <c r="A13" s="322">
        <v>1129100220</v>
      </c>
      <c r="B13" s="322" t="s">
        <v>310</v>
      </c>
      <c r="E13">
        <v>1123000220</v>
      </c>
      <c r="G13">
        <f t="shared" si="0"/>
        <v>1129100220</v>
      </c>
    </row>
    <row r="14" spans="1:7" ht="14" x14ac:dyDescent="0.15">
      <c r="A14" s="322">
        <v>1129100221</v>
      </c>
      <c r="B14" s="322" t="s">
        <v>311</v>
      </c>
      <c r="E14">
        <v>1124100220</v>
      </c>
      <c r="G14">
        <f t="shared" si="0"/>
        <v>1129100221</v>
      </c>
    </row>
    <row r="15" spans="1:7" ht="14" x14ac:dyDescent="0.15">
      <c r="A15" s="322">
        <v>1160000662</v>
      </c>
      <c r="B15" s="322" t="s">
        <v>312</v>
      </c>
      <c r="E15">
        <v>1129100220</v>
      </c>
      <c r="G15">
        <f t="shared" si="0"/>
        <v>1160000662</v>
      </c>
    </row>
    <row r="16" spans="1:7" ht="14" x14ac:dyDescent="0.15">
      <c r="A16" s="322">
        <v>1191000910</v>
      </c>
      <c r="B16" s="322" t="s">
        <v>500</v>
      </c>
      <c r="E16">
        <v>1129100221</v>
      </c>
      <c r="G16">
        <f t="shared" si="0"/>
        <v>1191000910</v>
      </c>
    </row>
    <row r="17" spans="1:7" ht="14" x14ac:dyDescent="0.15">
      <c r="A17" s="322">
        <v>1192000910</v>
      </c>
      <c r="B17" s="322" t="s">
        <v>501</v>
      </c>
      <c r="E17" s="182"/>
      <c r="G17">
        <f t="shared" si="0"/>
        <v>1192000910</v>
      </c>
    </row>
    <row r="18" spans="1:7" ht="14" x14ac:dyDescent="0.15">
      <c r="A18" s="322">
        <v>1212300292</v>
      </c>
      <c r="B18" s="322" t="s">
        <v>2076</v>
      </c>
      <c r="E18" s="182">
        <v>1160000662</v>
      </c>
      <c r="G18">
        <f t="shared" si="0"/>
        <v>1212300292</v>
      </c>
    </row>
    <row r="19" spans="1:7" ht="14" x14ac:dyDescent="0.15">
      <c r="A19" s="322">
        <v>1212300690</v>
      </c>
      <c r="B19" s="322" t="s">
        <v>313</v>
      </c>
      <c r="E19" s="182"/>
      <c r="G19">
        <f t="shared" si="0"/>
        <v>1212300690</v>
      </c>
    </row>
    <row r="20" spans="1:7" ht="14" x14ac:dyDescent="0.15">
      <c r="A20" s="322">
        <v>1212400220</v>
      </c>
      <c r="B20" s="322" t="s">
        <v>314</v>
      </c>
      <c r="E20" s="182">
        <v>1191000910</v>
      </c>
      <c r="G20">
        <f t="shared" si="0"/>
        <v>1212400220</v>
      </c>
    </row>
    <row r="21" spans="1:7" ht="14" x14ac:dyDescent="0.15">
      <c r="A21" s="322">
        <v>1212400221</v>
      </c>
      <c r="B21" s="322" t="s">
        <v>315</v>
      </c>
      <c r="E21" s="182">
        <v>1192000910</v>
      </c>
      <c r="G21">
        <f t="shared" si="0"/>
        <v>1212400221</v>
      </c>
    </row>
    <row r="22" spans="1:7" ht="14" x14ac:dyDescent="0.15">
      <c r="A22" s="322">
        <v>1213000220</v>
      </c>
      <c r="B22" s="322" t="s">
        <v>316</v>
      </c>
      <c r="E22" s="182"/>
      <c r="G22">
        <f t="shared" si="0"/>
        <v>1213000220</v>
      </c>
    </row>
    <row r="23" spans="1:7" ht="14" x14ac:dyDescent="0.15">
      <c r="A23" s="322">
        <v>1213000221</v>
      </c>
      <c r="B23" s="322" t="s">
        <v>1376</v>
      </c>
      <c r="E23" s="182"/>
      <c r="G23">
        <f t="shared" si="0"/>
        <v>1213000221</v>
      </c>
    </row>
    <row r="24" spans="1:7" ht="14" x14ac:dyDescent="0.15">
      <c r="A24" s="322">
        <v>1214200221</v>
      </c>
      <c r="B24" s="322" t="s">
        <v>317</v>
      </c>
      <c r="E24">
        <v>1212300690</v>
      </c>
      <c r="G24">
        <f t="shared" si="0"/>
        <v>1214200221</v>
      </c>
    </row>
    <row r="25" spans="1:7" ht="14" x14ac:dyDescent="0.15">
      <c r="A25" s="322">
        <v>1214200960</v>
      </c>
      <c r="B25" s="322" t="s">
        <v>491</v>
      </c>
      <c r="E25" s="322">
        <v>1212300292</v>
      </c>
      <c r="G25">
        <f t="shared" si="0"/>
        <v>1214200960</v>
      </c>
    </row>
    <row r="26" spans="1:7" ht="14" x14ac:dyDescent="0.15">
      <c r="A26" s="322">
        <v>1214201220</v>
      </c>
      <c r="B26" s="322" t="s">
        <v>1378</v>
      </c>
      <c r="E26">
        <v>1212400220</v>
      </c>
      <c r="G26">
        <f t="shared" si="0"/>
        <v>1214201220</v>
      </c>
    </row>
    <row r="27" spans="1:7" ht="14" x14ac:dyDescent="0.15">
      <c r="A27" s="322">
        <v>1214300220</v>
      </c>
      <c r="B27" s="322" t="s">
        <v>318</v>
      </c>
      <c r="E27">
        <v>1212400221</v>
      </c>
      <c r="G27">
        <f t="shared" si="0"/>
        <v>1214300220</v>
      </c>
    </row>
    <row r="28" spans="1:7" ht="14" x14ac:dyDescent="0.15">
      <c r="A28" s="322">
        <v>1214301220</v>
      </c>
      <c r="B28" s="322" t="s">
        <v>319</v>
      </c>
      <c r="E28">
        <v>1213000220</v>
      </c>
      <c r="G28">
        <f t="shared" si="0"/>
        <v>1214301220</v>
      </c>
    </row>
    <row r="29" spans="1:7" ht="14" x14ac:dyDescent="0.15">
      <c r="A29" s="322">
        <v>1222000440</v>
      </c>
      <c r="B29" s="322" t="s">
        <v>320</v>
      </c>
      <c r="E29">
        <v>1213000221</v>
      </c>
      <c r="G29">
        <f t="shared" si="0"/>
        <v>1222000440</v>
      </c>
    </row>
    <row r="30" spans="1:7" ht="14" x14ac:dyDescent="0.15">
      <c r="A30" s="322">
        <v>1222000441</v>
      </c>
      <c r="B30" s="322" t="s">
        <v>1586</v>
      </c>
      <c r="E30">
        <v>1214200221</v>
      </c>
      <c r="G30">
        <f t="shared" si="0"/>
        <v>1222000441</v>
      </c>
    </row>
    <row r="31" spans="1:7" ht="14" x14ac:dyDescent="0.15">
      <c r="A31" s="322">
        <v>1222000970</v>
      </c>
      <c r="B31" s="322" t="s">
        <v>1929</v>
      </c>
      <c r="E31">
        <v>1214200960</v>
      </c>
      <c r="G31">
        <f t="shared" si="0"/>
        <v>1222000970</v>
      </c>
    </row>
    <row r="32" spans="1:7" ht="14" x14ac:dyDescent="0.15">
      <c r="A32" s="322">
        <v>1222000971</v>
      </c>
      <c r="B32" s="322" t="s">
        <v>2077</v>
      </c>
      <c r="E32">
        <v>1214201220</v>
      </c>
      <c r="G32">
        <f t="shared" si="0"/>
        <v>1222000971</v>
      </c>
    </row>
    <row r="33" spans="1:7" ht="14" x14ac:dyDescent="0.15">
      <c r="A33" s="322">
        <v>1222100400</v>
      </c>
      <c r="B33" s="322" t="s">
        <v>321</v>
      </c>
      <c r="E33">
        <v>1214300220</v>
      </c>
      <c r="G33">
        <f t="shared" si="0"/>
        <v>1222100400</v>
      </c>
    </row>
    <row r="34" spans="1:7" ht="14" x14ac:dyDescent="0.15">
      <c r="A34" s="322">
        <v>1222100440</v>
      </c>
      <c r="B34" s="322" t="s">
        <v>322</v>
      </c>
      <c r="E34">
        <v>1214301220</v>
      </c>
      <c r="G34">
        <f t="shared" si="0"/>
        <v>1222100440</v>
      </c>
    </row>
    <row r="35" spans="1:7" ht="14" x14ac:dyDescent="0.15">
      <c r="A35" s="322">
        <v>1222100910</v>
      </c>
      <c r="B35" s="322" t="s">
        <v>492</v>
      </c>
      <c r="E35" s="182"/>
      <c r="G35">
        <f t="shared" si="0"/>
        <v>1222100910</v>
      </c>
    </row>
    <row r="36" spans="1:7" ht="14" x14ac:dyDescent="0.15">
      <c r="A36" s="322">
        <v>1233000690</v>
      </c>
      <c r="B36" s="322" t="s">
        <v>323</v>
      </c>
      <c r="E36" s="182"/>
      <c r="G36">
        <f t="shared" si="0"/>
        <v>1233000690</v>
      </c>
    </row>
    <row r="37" spans="1:7" ht="14" x14ac:dyDescent="0.15">
      <c r="A37" s="322">
        <v>1233100220</v>
      </c>
      <c r="B37" s="322" t="s">
        <v>324</v>
      </c>
      <c r="E37">
        <v>1222000440</v>
      </c>
      <c r="G37">
        <f t="shared" si="0"/>
        <v>1233100220</v>
      </c>
    </row>
    <row r="38" spans="1:7" ht="14" x14ac:dyDescent="0.15">
      <c r="A38" s="322">
        <v>1233200220</v>
      </c>
      <c r="B38" s="322" t="s">
        <v>1368</v>
      </c>
      <c r="E38">
        <v>1222000441</v>
      </c>
      <c r="G38">
        <f t="shared" si="0"/>
        <v>1233200220</v>
      </c>
    </row>
    <row r="39" spans="1:7" ht="14" x14ac:dyDescent="0.15">
      <c r="A39" s="322">
        <v>1233200290</v>
      </c>
      <c r="B39" s="322" t="s">
        <v>325</v>
      </c>
      <c r="E39">
        <v>1222000970</v>
      </c>
      <c r="G39">
        <f t="shared" si="0"/>
        <v>1233200290</v>
      </c>
    </row>
    <row r="40" spans="1:7" ht="14" x14ac:dyDescent="0.15">
      <c r="A40" s="322">
        <v>1233200291</v>
      </c>
      <c r="B40" s="322" t="s">
        <v>1587</v>
      </c>
      <c r="E40">
        <v>1222000971</v>
      </c>
      <c r="G40">
        <f t="shared" si="0"/>
        <v>1233200291</v>
      </c>
    </row>
    <row r="41" spans="1:7" ht="14" x14ac:dyDescent="0.15">
      <c r="A41" s="322">
        <v>1233200292</v>
      </c>
      <c r="B41" s="322" t="s">
        <v>1660</v>
      </c>
      <c r="E41">
        <v>1222100400</v>
      </c>
      <c r="G41">
        <f t="shared" si="0"/>
        <v>1233200292</v>
      </c>
    </row>
    <row r="42" spans="1:7" ht="14" x14ac:dyDescent="0.15">
      <c r="A42" s="322">
        <v>1233200293</v>
      </c>
      <c r="B42" s="322" t="s">
        <v>1738</v>
      </c>
      <c r="E42">
        <v>1222100440</v>
      </c>
      <c r="G42">
        <f t="shared" si="0"/>
        <v>1233200293</v>
      </c>
    </row>
    <row r="43" spans="1:7" ht="14" x14ac:dyDescent="0.15">
      <c r="A43" s="322">
        <v>1233200294</v>
      </c>
      <c r="B43" s="322" t="s">
        <v>2066</v>
      </c>
      <c r="E43">
        <v>1222100910</v>
      </c>
      <c r="G43">
        <f t="shared" si="0"/>
        <v>1233200294</v>
      </c>
    </row>
    <row r="44" spans="1:7" ht="15" x14ac:dyDescent="0.2">
      <c r="A44" s="322">
        <v>1233300290</v>
      </c>
      <c r="B44" s="322" t="s">
        <v>326</v>
      </c>
      <c r="E44" s="210"/>
      <c r="G44">
        <f t="shared" si="0"/>
        <v>1233300290</v>
      </c>
    </row>
    <row r="45" spans="1:7" ht="14" x14ac:dyDescent="0.15">
      <c r="A45" s="322">
        <v>1242000215</v>
      </c>
      <c r="B45" s="322" t="s">
        <v>327</v>
      </c>
      <c r="E45" s="182"/>
      <c r="G45" t="e">
        <f t="shared" si="0"/>
        <v>#N/A</v>
      </c>
    </row>
    <row r="46" spans="1:7" ht="14" x14ac:dyDescent="0.15">
      <c r="A46" s="322">
        <v>1242000220</v>
      </c>
      <c r="B46" s="322" t="s">
        <v>328</v>
      </c>
      <c r="E46">
        <v>1233000690</v>
      </c>
      <c r="G46">
        <f t="shared" si="0"/>
        <v>1242000220</v>
      </c>
    </row>
    <row r="47" spans="1:7" ht="14" x14ac:dyDescent="0.15">
      <c r="A47" s="322">
        <v>1242000221</v>
      </c>
      <c r="B47" s="322" t="s">
        <v>1383</v>
      </c>
      <c r="E47">
        <v>1233100220</v>
      </c>
      <c r="G47" t="e">
        <f t="shared" si="0"/>
        <v>#N/A</v>
      </c>
    </row>
    <row r="48" spans="1:7" ht="14" x14ac:dyDescent="0.15">
      <c r="A48" s="322">
        <v>1242000690</v>
      </c>
      <c r="B48" s="322" t="s">
        <v>329</v>
      </c>
      <c r="E48" s="322">
        <v>1233200220</v>
      </c>
      <c r="G48" t="e">
        <f t="shared" si="0"/>
        <v>#N/A</v>
      </c>
    </row>
    <row r="49" spans="1:7" ht="14" x14ac:dyDescent="0.15">
      <c r="A49" s="322">
        <v>1252000490</v>
      </c>
      <c r="B49" s="322" t="s">
        <v>2078</v>
      </c>
      <c r="E49">
        <v>1233200290</v>
      </c>
      <c r="G49">
        <f t="shared" si="0"/>
        <v>1252000490</v>
      </c>
    </row>
    <row r="50" spans="1:7" ht="14" x14ac:dyDescent="0.15">
      <c r="A50" s="322">
        <v>1252000990</v>
      </c>
      <c r="B50" s="322" t="s">
        <v>2079</v>
      </c>
      <c r="E50">
        <v>1233200291</v>
      </c>
      <c r="G50">
        <f t="shared" si="0"/>
        <v>1252000990</v>
      </c>
    </row>
    <row r="51" spans="1:7" ht="14" x14ac:dyDescent="0.15">
      <c r="A51" s="322">
        <v>1261000421</v>
      </c>
      <c r="B51" s="322" t="s">
        <v>330</v>
      </c>
      <c r="E51">
        <v>1233200292</v>
      </c>
      <c r="G51">
        <f t="shared" si="0"/>
        <v>1261000421</v>
      </c>
    </row>
    <row r="52" spans="1:7" ht="14" x14ac:dyDescent="0.15">
      <c r="A52" s="322">
        <v>1269000662</v>
      </c>
      <c r="B52" s="322" t="s">
        <v>331</v>
      </c>
      <c r="E52">
        <v>1233200293</v>
      </c>
      <c r="G52">
        <f t="shared" si="0"/>
        <v>1269000662</v>
      </c>
    </row>
    <row r="53" spans="1:7" ht="14" x14ac:dyDescent="0.15">
      <c r="A53" s="322">
        <v>1269000690</v>
      </c>
      <c r="B53" s="322" t="s">
        <v>1588</v>
      </c>
      <c r="E53">
        <v>1233200294</v>
      </c>
      <c r="G53">
        <f t="shared" si="0"/>
        <v>1269000690</v>
      </c>
    </row>
    <row r="54" spans="1:7" ht="14" x14ac:dyDescent="0.15">
      <c r="A54" s="322">
        <v>1269000790</v>
      </c>
      <c r="B54" s="322" t="s">
        <v>331</v>
      </c>
      <c r="E54">
        <v>1233300290</v>
      </c>
      <c r="G54">
        <f t="shared" si="0"/>
        <v>1269000790</v>
      </c>
    </row>
    <row r="55" spans="1:7" ht="14" x14ac:dyDescent="0.15">
      <c r="A55" s="322">
        <v>1269000791</v>
      </c>
      <c r="B55" s="322" t="s">
        <v>1699</v>
      </c>
      <c r="E55" s="182"/>
      <c r="G55">
        <f t="shared" si="0"/>
        <v>1269000791</v>
      </c>
    </row>
    <row r="56" spans="1:7" ht="14" x14ac:dyDescent="0.15">
      <c r="A56" s="322">
        <v>1269000792</v>
      </c>
      <c r="B56" s="322" t="s">
        <v>2080</v>
      </c>
      <c r="E56">
        <v>1242000220</v>
      </c>
      <c r="G56">
        <f t="shared" si="0"/>
        <v>1269000792</v>
      </c>
    </row>
    <row r="57" spans="1:7" ht="14" x14ac:dyDescent="0.15">
      <c r="A57" s="322">
        <v>1281000215</v>
      </c>
      <c r="B57" s="322" t="s">
        <v>332</v>
      </c>
      <c r="E57" s="182"/>
      <c r="G57">
        <f t="shared" si="0"/>
        <v>1281000215</v>
      </c>
    </row>
    <row r="58" spans="1:7" ht="14" x14ac:dyDescent="0.15">
      <c r="A58" s="322">
        <v>1281000222</v>
      </c>
      <c r="B58" s="322" t="s">
        <v>1540</v>
      </c>
      <c r="E58" s="182">
        <v>1252000490</v>
      </c>
      <c r="G58">
        <f t="shared" si="0"/>
        <v>1281000222</v>
      </c>
    </row>
    <row r="59" spans="1:7" ht="14" x14ac:dyDescent="0.15">
      <c r="A59" s="322">
        <v>1281000231</v>
      </c>
      <c r="B59" s="322" t="s">
        <v>54</v>
      </c>
      <c r="E59" s="182">
        <v>1252000990</v>
      </c>
      <c r="G59" t="e">
        <f t="shared" si="0"/>
        <v>#N/A</v>
      </c>
    </row>
    <row r="60" spans="1:7" ht="14" x14ac:dyDescent="0.15">
      <c r="A60" s="322">
        <v>1281000990</v>
      </c>
      <c r="B60" s="322" t="s">
        <v>55</v>
      </c>
      <c r="E60" s="182"/>
      <c r="G60" t="e">
        <f t="shared" si="0"/>
        <v>#N/A</v>
      </c>
    </row>
    <row r="61" spans="1:7" ht="14" x14ac:dyDescent="0.15">
      <c r="A61" s="322">
        <v>1282000490</v>
      </c>
      <c r="B61" s="322" t="s">
        <v>333</v>
      </c>
      <c r="E61">
        <v>1261000421</v>
      </c>
      <c r="G61">
        <f t="shared" si="0"/>
        <v>1282000490</v>
      </c>
    </row>
    <row r="62" spans="1:7" ht="14" x14ac:dyDescent="0.15">
      <c r="A62" s="322">
        <v>1311000690</v>
      </c>
      <c r="B62" s="322" t="s">
        <v>1184</v>
      </c>
      <c r="E62">
        <v>1269000662</v>
      </c>
      <c r="G62" t="e">
        <f t="shared" si="0"/>
        <v>#N/A</v>
      </c>
    </row>
    <row r="63" spans="1:7" ht="14" x14ac:dyDescent="0.15">
      <c r="A63" s="322">
        <v>1312200420</v>
      </c>
      <c r="B63" s="322" t="s">
        <v>2049</v>
      </c>
      <c r="E63">
        <v>1269000690</v>
      </c>
      <c r="G63">
        <f t="shared" si="0"/>
        <v>1312200420</v>
      </c>
    </row>
    <row r="64" spans="1:7" ht="14" x14ac:dyDescent="0.15">
      <c r="A64" s="322">
        <v>1312200440</v>
      </c>
      <c r="B64" s="322" t="s">
        <v>284</v>
      </c>
      <c r="E64">
        <v>1269000790</v>
      </c>
      <c r="G64">
        <f t="shared" si="0"/>
        <v>1312200440</v>
      </c>
    </row>
    <row r="65" spans="1:7" ht="14" x14ac:dyDescent="0.15">
      <c r="A65" s="322">
        <v>1312200790</v>
      </c>
      <c r="B65" s="322" t="s">
        <v>1387</v>
      </c>
      <c r="E65">
        <v>1269000791</v>
      </c>
      <c r="G65">
        <f t="shared" si="0"/>
        <v>1312200790</v>
      </c>
    </row>
    <row r="66" spans="1:7" ht="14" x14ac:dyDescent="0.15">
      <c r="A66" s="322">
        <v>1312200920</v>
      </c>
      <c r="B66" s="322" t="s">
        <v>1388</v>
      </c>
      <c r="E66">
        <v>1269000792</v>
      </c>
      <c r="G66">
        <f t="shared" si="0"/>
        <v>1312200920</v>
      </c>
    </row>
    <row r="67" spans="1:7" ht="14" x14ac:dyDescent="0.15">
      <c r="A67" s="322">
        <v>1312201420</v>
      </c>
      <c r="B67" s="322" t="s">
        <v>2081</v>
      </c>
      <c r="E67" s="182"/>
      <c r="G67">
        <f t="shared" ref="G67:G130" si="1">VLOOKUP(A67,$E$2:$E$1373,1,FALSE)</f>
        <v>1312201420</v>
      </c>
    </row>
    <row r="68" spans="1:7" ht="14" x14ac:dyDescent="0.15">
      <c r="A68" s="322">
        <v>1312210420</v>
      </c>
      <c r="B68" s="322" t="s">
        <v>2056</v>
      </c>
      <c r="E68">
        <v>1281000215</v>
      </c>
      <c r="G68">
        <f t="shared" si="1"/>
        <v>1312210420</v>
      </c>
    </row>
    <row r="69" spans="1:7" ht="14" x14ac:dyDescent="0.15">
      <c r="A69" s="322">
        <v>1312210920</v>
      </c>
      <c r="B69" s="322" t="s">
        <v>362</v>
      </c>
      <c r="E69">
        <v>1281000222</v>
      </c>
      <c r="G69">
        <f t="shared" si="1"/>
        <v>1312210920</v>
      </c>
    </row>
    <row r="70" spans="1:7" ht="14" x14ac:dyDescent="0.15">
      <c r="A70" s="322">
        <v>1312220920</v>
      </c>
      <c r="B70" s="322" t="s">
        <v>363</v>
      </c>
      <c r="E70">
        <v>1282000490</v>
      </c>
      <c r="G70">
        <f t="shared" si="1"/>
        <v>1312220920</v>
      </c>
    </row>
    <row r="71" spans="1:7" ht="14" x14ac:dyDescent="0.15">
      <c r="A71" s="322">
        <v>1312230920</v>
      </c>
      <c r="B71" s="322" t="s">
        <v>364</v>
      </c>
      <c r="E71" s="182"/>
      <c r="G71">
        <f t="shared" si="1"/>
        <v>1312230920</v>
      </c>
    </row>
    <row r="72" spans="1:7" ht="14" x14ac:dyDescent="0.15">
      <c r="A72" s="322">
        <v>1312500440</v>
      </c>
      <c r="B72" s="322" t="s">
        <v>286</v>
      </c>
      <c r="E72" s="182"/>
      <c r="G72">
        <f t="shared" si="1"/>
        <v>1312500440</v>
      </c>
    </row>
    <row r="73" spans="1:7" ht="14" x14ac:dyDescent="0.15">
      <c r="A73" s="322">
        <v>1312501440</v>
      </c>
      <c r="B73" s="322" t="s">
        <v>287</v>
      </c>
      <c r="E73">
        <v>1312200420</v>
      </c>
      <c r="G73">
        <f t="shared" si="1"/>
        <v>1312501440</v>
      </c>
    </row>
    <row r="74" spans="1:7" ht="14" x14ac:dyDescent="0.15">
      <c r="A74" s="322">
        <v>1312501920</v>
      </c>
      <c r="B74" s="322" t="s">
        <v>365</v>
      </c>
      <c r="E74">
        <v>1312200440</v>
      </c>
      <c r="G74">
        <f t="shared" si="1"/>
        <v>1312501920</v>
      </c>
    </row>
    <row r="75" spans="1:7" ht="14" x14ac:dyDescent="0.15">
      <c r="A75" s="322">
        <v>1313200410</v>
      </c>
      <c r="B75" s="322" t="s">
        <v>1390</v>
      </c>
      <c r="E75">
        <v>1312200790</v>
      </c>
      <c r="G75">
        <f t="shared" si="1"/>
        <v>1313200410</v>
      </c>
    </row>
    <row r="76" spans="1:7" ht="14" x14ac:dyDescent="0.15">
      <c r="A76" s="322">
        <v>1313200440</v>
      </c>
      <c r="B76" s="322" t="s">
        <v>1391</v>
      </c>
      <c r="E76">
        <v>1312200920</v>
      </c>
      <c r="G76">
        <f t="shared" si="1"/>
        <v>1313200440</v>
      </c>
    </row>
    <row r="77" spans="1:7" ht="14" x14ac:dyDescent="0.15">
      <c r="A77" s="322">
        <v>1313200920</v>
      </c>
      <c r="B77" s="322" t="s">
        <v>56</v>
      </c>
      <c r="E77">
        <v>1312201420</v>
      </c>
      <c r="G77">
        <f t="shared" si="1"/>
        <v>1313200920</v>
      </c>
    </row>
    <row r="78" spans="1:7" ht="14" x14ac:dyDescent="0.15">
      <c r="A78" s="322">
        <v>1313200923</v>
      </c>
      <c r="B78" s="322" t="s">
        <v>2048</v>
      </c>
      <c r="E78">
        <v>1312210420</v>
      </c>
      <c r="G78">
        <f t="shared" si="1"/>
        <v>1313200923</v>
      </c>
    </row>
    <row r="79" spans="1:7" ht="14" x14ac:dyDescent="0.15">
      <c r="A79" s="322">
        <v>1313201920</v>
      </c>
      <c r="B79" s="322" t="s">
        <v>1704</v>
      </c>
      <c r="E79">
        <v>1312210920</v>
      </c>
      <c r="G79">
        <f t="shared" si="1"/>
        <v>1313201920</v>
      </c>
    </row>
    <row r="80" spans="1:7" ht="14" x14ac:dyDescent="0.15">
      <c r="A80" s="322">
        <v>1313201921</v>
      </c>
      <c r="B80" s="322" t="s">
        <v>1493</v>
      </c>
      <c r="E80">
        <v>1312220920</v>
      </c>
      <c r="G80">
        <f t="shared" si="1"/>
        <v>1313201921</v>
      </c>
    </row>
    <row r="81" spans="1:7" ht="14" x14ac:dyDescent="0.15">
      <c r="A81" s="322">
        <v>1313201922</v>
      </c>
      <c r="B81" s="322" t="s">
        <v>1492</v>
      </c>
      <c r="E81">
        <v>1312230920</v>
      </c>
      <c r="G81">
        <f t="shared" si="1"/>
        <v>1313201922</v>
      </c>
    </row>
    <row r="82" spans="1:7" ht="14" x14ac:dyDescent="0.15">
      <c r="A82" s="322">
        <v>1313201923</v>
      </c>
      <c r="B82" s="322" t="s">
        <v>1538</v>
      </c>
      <c r="E82">
        <v>1312500440</v>
      </c>
      <c r="G82">
        <f t="shared" si="1"/>
        <v>1313201923</v>
      </c>
    </row>
    <row r="83" spans="1:7" ht="14" x14ac:dyDescent="0.15">
      <c r="A83" s="322">
        <v>1313202920</v>
      </c>
      <c r="B83" s="322" t="s">
        <v>1156</v>
      </c>
      <c r="E83">
        <v>1312501440</v>
      </c>
      <c r="G83">
        <f t="shared" si="1"/>
        <v>1313202920</v>
      </c>
    </row>
    <row r="84" spans="1:7" ht="14" x14ac:dyDescent="0.15">
      <c r="A84" s="322">
        <v>1313204920</v>
      </c>
      <c r="B84" s="322" t="s">
        <v>367</v>
      </c>
      <c r="E84">
        <v>1312501920</v>
      </c>
      <c r="G84">
        <f t="shared" si="1"/>
        <v>1313204920</v>
      </c>
    </row>
    <row r="85" spans="1:7" ht="14" x14ac:dyDescent="0.15">
      <c r="A85" s="322">
        <v>1313205920</v>
      </c>
      <c r="B85" s="322" t="s">
        <v>368</v>
      </c>
      <c r="E85">
        <v>1313200410</v>
      </c>
      <c r="G85">
        <f t="shared" si="1"/>
        <v>1313205920</v>
      </c>
    </row>
    <row r="86" spans="1:7" ht="14" x14ac:dyDescent="0.15">
      <c r="A86" s="322">
        <v>1313213920</v>
      </c>
      <c r="B86" s="322" t="s">
        <v>369</v>
      </c>
      <c r="E86">
        <v>1313200440</v>
      </c>
      <c r="G86">
        <f t="shared" si="1"/>
        <v>1313213920</v>
      </c>
    </row>
    <row r="87" spans="1:7" ht="14" x14ac:dyDescent="0.15">
      <c r="A87" s="322">
        <v>1313221920</v>
      </c>
      <c r="B87" s="322" t="s">
        <v>370</v>
      </c>
      <c r="E87">
        <v>1313200920</v>
      </c>
      <c r="G87">
        <f t="shared" si="1"/>
        <v>1313221920</v>
      </c>
    </row>
    <row r="88" spans="1:7" ht="14" x14ac:dyDescent="0.15">
      <c r="A88" s="322">
        <v>1313222920</v>
      </c>
      <c r="B88" s="322" t="s">
        <v>371</v>
      </c>
      <c r="E88">
        <v>1313200923</v>
      </c>
      <c r="G88">
        <f t="shared" si="1"/>
        <v>1313222920</v>
      </c>
    </row>
    <row r="89" spans="1:7" ht="14" x14ac:dyDescent="0.15">
      <c r="A89" s="322">
        <v>1313223920</v>
      </c>
      <c r="B89" s="322" t="s">
        <v>372</v>
      </c>
      <c r="E89">
        <v>1313201920</v>
      </c>
      <c r="G89">
        <f t="shared" si="1"/>
        <v>1313223920</v>
      </c>
    </row>
    <row r="90" spans="1:7" ht="14" x14ac:dyDescent="0.15">
      <c r="A90" s="322">
        <v>1313300920</v>
      </c>
      <c r="B90" s="322" t="s">
        <v>373</v>
      </c>
      <c r="E90">
        <v>1313201921</v>
      </c>
      <c r="G90">
        <f t="shared" si="1"/>
        <v>1313300920</v>
      </c>
    </row>
    <row r="91" spans="1:7" ht="14" x14ac:dyDescent="0.15">
      <c r="A91" s="322">
        <v>1313304920</v>
      </c>
      <c r="B91" s="322" t="s">
        <v>374</v>
      </c>
      <c r="E91">
        <v>1313201922</v>
      </c>
      <c r="G91">
        <f t="shared" si="1"/>
        <v>1313304920</v>
      </c>
    </row>
    <row r="92" spans="1:7" ht="14" x14ac:dyDescent="0.15">
      <c r="A92" s="322">
        <v>1313305920</v>
      </c>
      <c r="B92" s="322" t="s">
        <v>375</v>
      </c>
      <c r="E92">
        <v>1313201923</v>
      </c>
      <c r="G92">
        <f t="shared" si="1"/>
        <v>1313305920</v>
      </c>
    </row>
    <row r="93" spans="1:7" ht="14" x14ac:dyDescent="0.15">
      <c r="A93" s="322">
        <v>1313313920</v>
      </c>
      <c r="B93" s="322" t="s">
        <v>376</v>
      </c>
      <c r="E93">
        <v>1313202920</v>
      </c>
      <c r="G93">
        <f t="shared" si="1"/>
        <v>1313313920</v>
      </c>
    </row>
    <row r="94" spans="1:7" ht="14" x14ac:dyDescent="0.15">
      <c r="A94" s="322">
        <v>1313317410</v>
      </c>
      <c r="B94" s="322" t="s">
        <v>289</v>
      </c>
      <c r="E94">
        <v>1313204920</v>
      </c>
      <c r="G94">
        <f t="shared" si="1"/>
        <v>1313317410</v>
      </c>
    </row>
    <row r="95" spans="1:7" ht="14" x14ac:dyDescent="0.15">
      <c r="A95" s="322">
        <v>1313330920</v>
      </c>
      <c r="B95" s="322" t="s">
        <v>378</v>
      </c>
      <c r="E95">
        <v>1313205920</v>
      </c>
      <c r="G95">
        <f t="shared" si="1"/>
        <v>1313330920</v>
      </c>
    </row>
    <row r="96" spans="1:7" ht="14" x14ac:dyDescent="0.15">
      <c r="A96" s="322">
        <v>1313700920</v>
      </c>
      <c r="B96" s="322" t="s">
        <v>379</v>
      </c>
      <c r="E96">
        <v>1313213920</v>
      </c>
      <c r="G96">
        <f t="shared" si="1"/>
        <v>1313700920</v>
      </c>
    </row>
    <row r="97" spans="1:7" ht="14" x14ac:dyDescent="0.15">
      <c r="A97" s="322">
        <v>1313704920</v>
      </c>
      <c r="B97" s="322" t="s">
        <v>380</v>
      </c>
      <c r="E97">
        <v>1313221920</v>
      </c>
      <c r="G97">
        <f t="shared" si="1"/>
        <v>1313704920</v>
      </c>
    </row>
    <row r="98" spans="1:7" ht="14" x14ac:dyDescent="0.15">
      <c r="A98" s="322">
        <v>1313705920</v>
      </c>
      <c r="B98" s="322" t="s">
        <v>381</v>
      </c>
      <c r="E98">
        <v>1313222920</v>
      </c>
      <c r="G98">
        <f t="shared" si="1"/>
        <v>1313705920</v>
      </c>
    </row>
    <row r="99" spans="1:7" ht="14" x14ac:dyDescent="0.15">
      <c r="A99" s="322">
        <v>1315700700</v>
      </c>
      <c r="B99" s="322" t="s">
        <v>290</v>
      </c>
      <c r="E99">
        <v>1313223920</v>
      </c>
      <c r="G99">
        <f t="shared" si="1"/>
        <v>1315700700</v>
      </c>
    </row>
    <row r="100" spans="1:7" ht="14" x14ac:dyDescent="0.15">
      <c r="A100" s="322">
        <v>1315777700</v>
      </c>
      <c r="B100" s="322" t="s">
        <v>291</v>
      </c>
      <c r="E100">
        <v>1313300920</v>
      </c>
      <c r="G100">
        <f t="shared" si="1"/>
        <v>1315777700</v>
      </c>
    </row>
    <row r="101" spans="1:7" ht="14" x14ac:dyDescent="0.15">
      <c r="A101" s="322">
        <v>1315788700</v>
      </c>
      <c r="B101" s="322" t="s">
        <v>292</v>
      </c>
      <c r="E101">
        <v>1313304920</v>
      </c>
      <c r="G101">
        <f t="shared" si="1"/>
        <v>1315788700</v>
      </c>
    </row>
    <row r="102" spans="1:7" ht="14" x14ac:dyDescent="0.15">
      <c r="A102" s="322">
        <v>1317100920</v>
      </c>
      <c r="B102" s="322" t="s">
        <v>382</v>
      </c>
      <c r="E102">
        <v>1313305920</v>
      </c>
      <c r="G102">
        <f t="shared" si="1"/>
        <v>1317100920</v>
      </c>
    </row>
    <row r="103" spans="1:7" ht="14" x14ac:dyDescent="0.15">
      <c r="A103" s="322">
        <v>1317100990</v>
      </c>
      <c r="B103" s="322" t="s">
        <v>493</v>
      </c>
      <c r="E103">
        <v>1313313920</v>
      </c>
      <c r="G103">
        <f t="shared" si="1"/>
        <v>1317100990</v>
      </c>
    </row>
    <row r="104" spans="1:7" ht="14" x14ac:dyDescent="0.15">
      <c r="A104" s="322">
        <v>1317200920</v>
      </c>
      <c r="B104" s="322" t="s">
        <v>383</v>
      </c>
      <c r="E104">
        <v>1313317410</v>
      </c>
      <c r="G104">
        <f t="shared" si="1"/>
        <v>1317200920</v>
      </c>
    </row>
    <row r="105" spans="1:7" ht="14" x14ac:dyDescent="0.15">
      <c r="A105" s="322">
        <v>1317300920</v>
      </c>
      <c r="B105" s="322" t="s">
        <v>384</v>
      </c>
      <c r="E105">
        <v>1313330920</v>
      </c>
      <c r="G105">
        <f t="shared" si="1"/>
        <v>1317300920</v>
      </c>
    </row>
    <row r="106" spans="1:7" ht="14" x14ac:dyDescent="0.15">
      <c r="A106" s="322">
        <v>1317301920</v>
      </c>
      <c r="B106" s="322" t="s">
        <v>385</v>
      </c>
      <c r="E106">
        <v>1313700920</v>
      </c>
      <c r="G106">
        <f t="shared" si="1"/>
        <v>1317301920</v>
      </c>
    </row>
    <row r="107" spans="1:7" ht="14" x14ac:dyDescent="0.15">
      <c r="A107" s="322">
        <v>1317500410</v>
      </c>
      <c r="B107" s="322" t="s">
        <v>293</v>
      </c>
      <c r="E107">
        <v>1313704920</v>
      </c>
      <c r="G107">
        <f t="shared" si="1"/>
        <v>1317500410</v>
      </c>
    </row>
    <row r="108" spans="1:7" ht="14" x14ac:dyDescent="0.15">
      <c r="A108" s="322">
        <v>1317600920</v>
      </c>
      <c r="B108" s="322" t="s">
        <v>1397</v>
      </c>
      <c r="E108">
        <v>1313705920</v>
      </c>
      <c r="G108">
        <f t="shared" si="1"/>
        <v>1317600920</v>
      </c>
    </row>
    <row r="109" spans="1:7" ht="14" x14ac:dyDescent="0.15">
      <c r="A109" s="322">
        <v>1317700920</v>
      </c>
      <c r="B109" s="322" t="s">
        <v>387</v>
      </c>
      <c r="E109">
        <v>1315700700</v>
      </c>
      <c r="G109">
        <f t="shared" si="1"/>
        <v>1317700920</v>
      </c>
    </row>
    <row r="110" spans="1:7" ht="14" x14ac:dyDescent="0.15">
      <c r="A110" s="322">
        <v>1317701920</v>
      </c>
      <c r="B110" s="322" t="s">
        <v>388</v>
      </c>
      <c r="E110">
        <v>1315777700</v>
      </c>
      <c r="G110">
        <f t="shared" si="1"/>
        <v>1317701920</v>
      </c>
    </row>
    <row r="111" spans="1:7" ht="14" x14ac:dyDescent="0.15">
      <c r="A111" s="322">
        <v>1317702920</v>
      </c>
      <c r="B111" s="322" t="s">
        <v>389</v>
      </c>
      <c r="E111">
        <v>1315788700</v>
      </c>
      <c r="G111">
        <f t="shared" si="1"/>
        <v>1317702920</v>
      </c>
    </row>
    <row r="112" spans="1:7" ht="14" x14ac:dyDescent="0.15">
      <c r="A112" s="322">
        <v>1317800440</v>
      </c>
      <c r="B112" s="322" t="s">
        <v>1364</v>
      </c>
      <c r="E112">
        <v>1317100920</v>
      </c>
      <c r="G112" t="e">
        <f t="shared" si="1"/>
        <v>#N/A</v>
      </c>
    </row>
    <row r="113" spans="1:7" ht="14" x14ac:dyDescent="0.15">
      <c r="A113" s="322">
        <v>1317800920</v>
      </c>
      <c r="B113" s="322" t="s">
        <v>390</v>
      </c>
      <c r="E113">
        <v>1317100990</v>
      </c>
      <c r="G113">
        <f t="shared" si="1"/>
        <v>1317800920</v>
      </c>
    </row>
    <row r="114" spans="1:7" ht="14" x14ac:dyDescent="0.15">
      <c r="A114" s="322">
        <v>1317801920</v>
      </c>
      <c r="B114" s="322" t="s">
        <v>391</v>
      </c>
      <c r="E114">
        <v>1317200920</v>
      </c>
      <c r="G114">
        <f t="shared" si="1"/>
        <v>1317801920</v>
      </c>
    </row>
    <row r="115" spans="1:7" ht="14" x14ac:dyDescent="0.15">
      <c r="A115" s="322">
        <v>1317900790</v>
      </c>
      <c r="B115" s="322" t="s">
        <v>1155</v>
      </c>
      <c r="E115">
        <v>1317300920</v>
      </c>
      <c r="G115">
        <f t="shared" si="1"/>
        <v>1317900790</v>
      </c>
    </row>
    <row r="116" spans="1:7" ht="14" x14ac:dyDescent="0.15">
      <c r="A116" s="322">
        <v>1317904920</v>
      </c>
      <c r="B116" s="322" t="s">
        <v>392</v>
      </c>
      <c r="E116">
        <v>1317301920</v>
      </c>
      <c r="G116">
        <f t="shared" si="1"/>
        <v>1317904920</v>
      </c>
    </row>
    <row r="117" spans="1:7" ht="14" x14ac:dyDescent="0.15">
      <c r="A117" s="322">
        <v>1317905920</v>
      </c>
      <c r="B117" s="322" t="s">
        <v>393</v>
      </c>
      <c r="E117">
        <v>1317500410</v>
      </c>
      <c r="G117">
        <f t="shared" si="1"/>
        <v>1317905920</v>
      </c>
    </row>
    <row r="118" spans="1:7" ht="14" x14ac:dyDescent="0.15">
      <c r="A118" s="322">
        <v>1317922920</v>
      </c>
      <c r="B118" s="322" t="s">
        <v>394</v>
      </c>
      <c r="E118">
        <v>1317600920</v>
      </c>
      <c r="G118">
        <f t="shared" si="1"/>
        <v>1317922920</v>
      </c>
    </row>
    <row r="119" spans="1:7" ht="14" x14ac:dyDescent="0.15">
      <c r="A119" s="322">
        <v>1317950790</v>
      </c>
      <c r="B119" s="322" t="s">
        <v>294</v>
      </c>
      <c r="E119">
        <v>1317700920</v>
      </c>
      <c r="G119">
        <f t="shared" si="1"/>
        <v>1317950790</v>
      </c>
    </row>
    <row r="120" spans="1:7" ht="14" x14ac:dyDescent="0.15">
      <c r="A120" s="322">
        <v>1317950920</v>
      </c>
      <c r="B120" s="322" t="s">
        <v>1186</v>
      </c>
      <c r="E120">
        <v>1317701920</v>
      </c>
      <c r="G120" t="e">
        <f t="shared" si="1"/>
        <v>#N/A</v>
      </c>
    </row>
    <row r="121" spans="1:7" ht="14" x14ac:dyDescent="0.15">
      <c r="A121" s="322">
        <v>1317951920</v>
      </c>
      <c r="B121" s="322" t="s">
        <v>395</v>
      </c>
      <c r="E121">
        <v>1317702920</v>
      </c>
      <c r="G121">
        <f t="shared" si="1"/>
        <v>1317951920</v>
      </c>
    </row>
    <row r="122" spans="1:7" ht="14" x14ac:dyDescent="0.15">
      <c r="A122" s="322">
        <v>1317952920</v>
      </c>
      <c r="B122" s="322" t="s">
        <v>1149</v>
      </c>
      <c r="E122">
        <v>1317800920</v>
      </c>
      <c r="G122">
        <f t="shared" si="1"/>
        <v>1317952920</v>
      </c>
    </row>
    <row r="123" spans="1:7" ht="14" x14ac:dyDescent="0.15">
      <c r="A123" s="322">
        <v>1317960920</v>
      </c>
      <c r="B123" s="322" t="s">
        <v>397</v>
      </c>
      <c r="E123">
        <v>1317801920</v>
      </c>
      <c r="G123">
        <f t="shared" si="1"/>
        <v>1317960920</v>
      </c>
    </row>
    <row r="124" spans="1:7" ht="14" x14ac:dyDescent="0.15">
      <c r="A124" s="322">
        <v>1319999920</v>
      </c>
      <c r="B124" s="322" t="s">
        <v>398</v>
      </c>
      <c r="E124">
        <v>1317900790</v>
      </c>
      <c r="G124">
        <f t="shared" si="1"/>
        <v>1319999920</v>
      </c>
    </row>
    <row r="125" spans="1:7" ht="14" x14ac:dyDescent="0.15">
      <c r="A125" s="322">
        <v>1322000410</v>
      </c>
      <c r="B125" s="322" t="s">
        <v>334</v>
      </c>
      <c r="E125">
        <v>1317904920</v>
      </c>
      <c r="G125">
        <f t="shared" si="1"/>
        <v>1322000410</v>
      </c>
    </row>
    <row r="126" spans="1:7" ht="14" x14ac:dyDescent="0.15">
      <c r="A126" s="322">
        <v>1322000411</v>
      </c>
      <c r="B126" s="322" t="s">
        <v>335</v>
      </c>
      <c r="E126">
        <v>1317905920</v>
      </c>
      <c r="G126">
        <f t="shared" si="1"/>
        <v>1322000411</v>
      </c>
    </row>
    <row r="127" spans="1:7" ht="14" x14ac:dyDescent="0.15">
      <c r="A127" s="322">
        <v>1322000740</v>
      </c>
      <c r="B127" s="322" t="s">
        <v>336</v>
      </c>
      <c r="E127">
        <v>1317922920</v>
      </c>
      <c r="G127">
        <f t="shared" si="1"/>
        <v>1322000740</v>
      </c>
    </row>
    <row r="128" spans="1:7" ht="14" x14ac:dyDescent="0.15">
      <c r="A128" s="322">
        <v>1322000790</v>
      </c>
      <c r="B128" s="322" t="s">
        <v>337</v>
      </c>
      <c r="E128">
        <v>1317950790</v>
      </c>
      <c r="G128">
        <f t="shared" si="1"/>
        <v>1322000790</v>
      </c>
    </row>
    <row r="129" spans="1:7" ht="14" x14ac:dyDescent="0.15">
      <c r="A129" s="322">
        <v>1322000920</v>
      </c>
      <c r="B129" s="322" t="s">
        <v>494</v>
      </c>
      <c r="E129">
        <v>1317951920</v>
      </c>
      <c r="G129">
        <f t="shared" si="1"/>
        <v>1322000920</v>
      </c>
    </row>
    <row r="130" spans="1:7" ht="14" x14ac:dyDescent="0.15">
      <c r="A130" s="322">
        <v>1323000420</v>
      </c>
      <c r="B130" s="322" t="s">
        <v>338</v>
      </c>
      <c r="E130">
        <v>1317952920</v>
      </c>
      <c r="G130">
        <f t="shared" si="1"/>
        <v>1323000420</v>
      </c>
    </row>
    <row r="131" spans="1:7" ht="14" x14ac:dyDescent="0.15">
      <c r="A131" s="322">
        <v>1325200220</v>
      </c>
      <c r="B131" s="322" t="s">
        <v>339</v>
      </c>
      <c r="E131">
        <v>1317960920</v>
      </c>
      <c r="G131">
        <f t="shared" ref="G131:G194" si="2">VLOOKUP(A131,$E$2:$E$1373,1,FALSE)</f>
        <v>1325200220</v>
      </c>
    </row>
    <row r="132" spans="1:7" ht="14" x14ac:dyDescent="0.15">
      <c r="A132" s="322">
        <v>1325200221</v>
      </c>
      <c r="B132" s="322" t="s">
        <v>1590</v>
      </c>
      <c r="E132">
        <v>1319999920</v>
      </c>
      <c r="G132">
        <f t="shared" si="2"/>
        <v>1325200221</v>
      </c>
    </row>
    <row r="133" spans="1:7" ht="14" x14ac:dyDescent="0.15">
      <c r="A133" s="322">
        <v>1325200410</v>
      </c>
      <c r="B133" s="322" t="s">
        <v>340</v>
      </c>
      <c r="E133" s="182"/>
      <c r="G133">
        <f t="shared" si="2"/>
        <v>1325200410</v>
      </c>
    </row>
    <row r="134" spans="1:7" ht="14" x14ac:dyDescent="0.15">
      <c r="A134" s="322">
        <v>1325200411</v>
      </c>
      <c r="B134" s="322" t="s">
        <v>1641</v>
      </c>
      <c r="E134">
        <v>1322000410</v>
      </c>
      <c r="G134">
        <f t="shared" si="2"/>
        <v>1325200411</v>
      </c>
    </row>
    <row r="135" spans="1:7" ht="14" x14ac:dyDescent="0.15">
      <c r="A135" s="322">
        <v>1325200700</v>
      </c>
      <c r="B135" s="322" t="s">
        <v>341</v>
      </c>
      <c r="E135">
        <v>1322000411</v>
      </c>
      <c r="G135">
        <f t="shared" si="2"/>
        <v>1325200700</v>
      </c>
    </row>
    <row r="136" spans="1:7" ht="14" x14ac:dyDescent="0.15">
      <c r="A136" s="322">
        <v>1325200701</v>
      </c>
      <c r="B136" s="322" t="s">
        <v>2082</v>
      </c>
      <c r="E136">
        <v>1322000740</v>
      </c>
      <c r="G136">
        <f t="shared" si="2"/>
        <v>1325200701</v>
      </c>
    </row>
    <row r="137" spans="1:7" ht="14" x14ac:dyDescent="0.15">
      <c r="A137" s="322">
        <v>1325200920</v>
      </c>
      <c r="B137" s="322" t="s">
        <v>496</v>
      </c>
      <c r="E137">
        <v>1322000790</v>
      </c>
      <c r="G137">
        <f t="shared" si="2"/>
        <v>1325200920</v>
      </c>
    </row>
    <row r="138" spans="1:7" ht="14" x14ac:dyDescent="0.15">
      <c r="A138" s="322">
        <v>1329300920</v>
      </c>
      <c r="B138" s="322" t="s">
        <v>497</v>
      </c>
      <c r="E138">
        <v>1322000920</v>
      </c>
      <c r="G138">
        <f t="shared" si="2"/>
        <v>1329300920</v>
      </c>
    </row>
    <row r="139" spans="1:7" ht="14" x14ac:dyDescent="0.15">
      <c r="A139" s="322">
        <v>1329300921</v>
      </c>
      <c r="B139" s="322" t="s">
        <v>1537</v>
      </c>
      <c r="E139">
        <v>1323000420</v>
      </c>
      <c r="G139">
        <f t="shared" si="2"/>
        <v>1329300921</v>
      </c>
    </row>
    <row r="140" spans="1:7" ht="14" x14ac:dyDescent="0.15">
      <c r="A140" s="322">
        <v>1341000690</v>
      </c>
      <c r="B140" s="322" t="s">
        <v>1536</v>
      </c>
      <c r="E140">
        <v>1325200220</v>
      </c>
      <c r="G140" t="e">
        <f t="shared" si="2"/>
        <v>#N/A</v>
      </c>
    </row>
    <row r="141" spans="1:7" ht="14" x14ac:dyDescent="0.15">
      <c r="A141" s="322">
        <v>1341000930</v>
      </c>
      <c r="B141" s="322" t="s">
        <v>401</v>
      </c>
      <c r="E141">
        <v>1325200221</v>
      </c>
      <c r="G141">
        <f t="shared" si="2"/>
        <v>1341000930</v>
      </c>
    </row>
    <row r="142" spans="1:7" ht="14" x14ac:dyDescent="0.15">
      <c r="A142" s="322">
        <v>1341000933</v>
      </c>
      <c r="B142" s="322" t="s">
        <v>402</v>
      </c>
      <c r="E142">
        <v>1325200410</v>
      </c>
      <c r="G142">
        <f t="shared" si="2"/>
        <v>1341000933</v>
      </c>
    </row>
    <row r="143" spans="1:7" ht="14" x14ac:dyDescent="0.15">
      <c r="A143" s="322">
        <v>1341000934</v>
      </c>
      <c r="B143" s="322" t="s">
        <v>403</v>
      </c>
      <c r="E143">
        <v>1325200411</v>
      </c>
      <c r="G143">
        <f t="shared" si="2"/>
        <v>1341000934</v>
      </c>
    </row>
    <row r="144" spans="1:7" ht="14" x14ac:dyDescent="0.15">
      <c r="A144" s="322">
        <v>1341000935</v>
      </c>
      <c r="B144" s="322" t="s">
        <v>1404</v>
      </c>
      <c r="E144">
        <v>1325200700</v>
      </c>
      <c r="G144">
        <f t="shared" si="2"/>
        <v>1341000935</v>
      </c>
    </row>
    <row r="145" spans="1:7" ht="14" x14ac:dyDescent="0.15">
      <c r="A145" s="322">
        <v>1341000936</v>
      </c>
      <c r="B145" s="322" t="s">
        <v>404</v>
      </c>
      <c r="E145">
        <v>1325200701</v>
      </c>
      <c r="G145">
        <f t="shared" si="2"/>
        <v>1341000936</v>
      </c>
    </row>
    <row r="146" spans="1:7" ht="14" x14ac:dyDescent="0.15">
      <c r="A146" s="322">
        <v>1341000937</v>
      </c>
      <c r="B146" s="322" t="s">
        <v>405</v>
      </c>
      <c r="E146">
        <v>1325200920</v>
      </c>
      <c r="G146">
        <f t="shared" si="2"/>
        <v>1341000937</v>
      </c>
    </row>
    <row r="147" spans="1:7" ht="14" x14ac:dyDescent="0.15">
      <c r="A147" s="322">
        <v>1341000938</v>
      </c>
      <c r="B147" s="322" t="s">
        <v>1487</v>
      </c>
      <c r="E147">
        <v>1329300920</v>
      </c>
      <c r="G147">
        <f t="shared" si="2"/>
        <v>1341000938</v>
      </c>
    </row>
    <row r="148" spans="1:7" ht="14" x14ac:dyDescent="0.15">
      <c r="A148" s="322">
        <v>1341000939</v>
      </c>
      <c r="B148" s="322" t="s">
        <v>1591</v>
      </c>
      <c r="E148">
        <v>1329300921</v>
      </c>
      <c r="G148">
        <f t="shared" si="2"/>
        <v>1341000939</v>
      </c>
    </row>
    <row r="149" spans="1:7" ht="14" x14ac:dyDescent="0.15">
      <c r="A149" s="322">
        <v>1342200930</v>
      </c>
      <c r="B149" s="322" t="s">
        <v>406</v>
      </c>
      <c r="E149" s="182"/>
      <c r="G149">
        <f t="shared" si="2"/>
        <v>1342200930</v>
      </c>
    </row>
    <row r="150" spans="1:7" ht="14" x14ac:dyDescent="0.15">
      <c r="A150" s="322">
        <v>1342200931</v>
      </c>
      <c r="B150" s="322" t="s">
        <v>1252</v>
      </c>
      <c r="E150" s="182"/>
      <c r="G150" t="e">
        <f t="shared" si="2"/>
        <v>#N/A</v>
      </c>
    </row>
    <row r="151" spans="1:7" ht="14" x14ac:dyDescent="0.15">
      <c r="A151" s="322">
        <v>1342200933</v>
      </c>
      <c r="B151" s="322" t="s">
        <v>407</v>
      </c>
      <c r="E151">
        <v>1341000930</v>
      </c>
      <c r="G151">
        <f t="shared" si="2"/>
        <v>1342200933</v>
      </c>
    </row>
    <row r="152" spans="1:7" ht="14" x14ac:dyDescent="0.15">
      <c r="A152" s="322">
        <v>1342200934</v>
      </c>
      <c r="B152" s="322" t="s">
        <v>408</v>
      </c>
      <c r="E152">
        <v>1341000933</v>
      </c>
      <c r="G152">
        <f t="shared" si="2"/>
        <v>1342200934</v>
      </c>
    </row>
    <row r="153" spans="1:7" ht="14" x14ac:dyDescent="0.15">
      <c r="A153" s="322">
        <v>1342200936</v>
      </c>
      <c r="B153" s="322" t="s">
        <v>409</v>
      </c>
      <c r="E153">
        <v>1341000934</v>
      </c>
      <c r="G153">
        <f t="shared" si="2"/>
        <v>1342200936</v>
      </c>
    </row>
    <row r="154" spans="1:7" ht="14" x14ac:dyDescent="0.15">
      <c r="A154" s="322">
        <v>1342200937</v>
      </c>
      <c r="B154" s="322" t="s">
        <v>1485</v>
      </c>
      <c r="E154">
        <v>1341000935</v>
      </c>
      <c r="G154">
        <f t="shared" si="2"/>
        <v>1342200937</v>
      </c>
    </row>
    <row r="155" spans="1:7" ht="14" x14ac:dyDescent="0.15">
      <c r="A155" s="322">
        <v>1342200938</v>
      </c>
      <c r="B155" s="322" t="s">
        <v>1406</v>
      </c>
      <c r="E155">
        <v>1341000936</v>
      </c>
      <c r="G155" t="e">
        <f t="shared" si="2"/>
        <v>#N/A</v>
      </c>
    </row>
    <row r="156" spans="1:7" ht="14" x14ac:dyDescent="0.15">
      <c r="A156" s="322">
        <v>1342200939</v>
      </c>
      <c r="B156" s="322" t="s">
        <v>93</v>
      </c>
      <c r="E156">
        <v>1341000937</v>
      </c>
      <c r="G156" t="e">
        <f t="shared" si="2"/>
        <v>#N/A</v>
      </c>
    </row>
    <row r="157" spans="1:7" ht="14" x14ac:dyDescent="0.15">
      <c r="A157" s="322">
        <v>1342400420</v>
      </c>
      <c r="B157" s="322" t="s">
        <v>1407</v>
      </c>
      <c r="E157">
        <v>1341000938</v>
      </c>
      <c r="G157">
        <f t="shared" si="2"/>
        <v>1342400420</v>
      </c>
    </row>
    <row r="158" spans="1:7" ht="14" x14ac:dyDescent="0.15">
      <c r="A158" s="322">
        <v>1342400931</v>
      </c>
      <c r="B158" s="322" t="s">
        <v>410</v>
      </c>
      <c r="E158">
        <v>1341000939</v>
      </c>
      <c r="G158">
        <f t="shared" si="2"/>
        <v>1342400931</v>
      </c>
    </row>
    <row r="159" spans="1:7" ht="14" x14ac:dyDescent="0.15">
      <c r="A159" s="322">
        <v>1342400935</v>
      </c>
      <c r="B159" s="322" t="s">
        <v>411</v>
      </c>
      <c r="E159">
        <v>1342200930</v>
      </c>
      <c r="G159">
        <f t="shared" si="2"/>
        <v>1342400935</v>
      </c>
    </row>
    <row r="160" spans="1:7" ht="14" x14ac:dyDescent="0.15">
      <c r="A160" s="322">
        <v>1342400936</v>
      </c>
      <c r="B160" s="322" t="s">
        <v>1408</v>
      </c>
      <c r="E160">
        <v>1342200933</v>
      </c>
      <c r="G160">
        <f t="shared" si="2"/>
        <v>1342400936</v>
      </c>
    </row>
    <row r="161" spans="1:7" ht="14" x14ac:dyDescent="0.15">
      <c r="A161" s="322">
        <v>1342400937</v>
      </c>
      <c r="B161" s="322" t="s">
        <v>1592</v>
      </c>
      <c r="E161">
        <v>1342200934</v>
      </c>
      <c r="G161">
        <f t="shared" si="2"/>
        <v>1342400937</v>
      </c>
    </row>
    <row r="162" spans="1:7" ht="14" x14ac:dyDescent="0.15">
      <c r="A162" s="322">
        <v>1342401930</v>
      </c>
      <c r="B162" s="322" t="s">
        <v>412</v>
      </c>
      <c r="E162">
        <v>1342200936</v>
      </c>
      <c r="G162">
        <f t="shared" si="2"/>
        <v>1342401930</v>
      </c>
    </row>
    <row r="163" spans="1:7" ht="14" x14ac:dyDescent="0.15">
      <c r="A163" s="322">
        <v>1342401931</v>
      </c>
      <c r="B163" s="322" t="s">
        <v>2083</v>
      </c>
      <c r="E163">
        <v>1342200937</v>
      </c>
      <c r="G163">
        <f t="shared" si="2"/>
        <v>1342401931</v>
      </c>
    </row>
    <row r="164" spans="1:7" ht="14" x14ac:dyDescent="0.15">
      <c r="A164" s="322">
        <v>1343500420</v>
      </c>
      <c r="B164" s="322" t="s">
        <v>1191</v>
      </c>
      <c r="E164">
        <v>1342400420</v>
      </c>
      <c r="G164">
        <f t="shared" si="2"/>
        <v>1343500420</v>
      </c>
    </row>
    <row r="165" spans="1:7" ht="14" x14ac:dyDescent="0.15">
      <c r="A165" s="322">
        <v>1343500930</v>
      </c>
      <c r="B165" s="322" t="s">
        <v>57</v>
      </c>
      <c r="E165">
        <v>1342400931</v>
      </c>
      <c r="G165">
        <f t="shared" si="2"/>
        <v>1343500930</v>
      </c>
    </row>
    <row r="166" spans="1:7" ht="14" x14ac:dyDescent="0.15">
      <c r="A166" s="322">
        <v>1343500931</v>
      </c>
      <c r="B166" s="322" t="s">
        <v>413</v>
      </c>
      <c r="E166">
        <v>1342400935</v>
      </c>
      <c r="G166">
        <f t="shared" si="2"/>
        <v>1343500931</v>
      </c>
    </row>
    <row r="167" spans="1:7" ht="14" x14ac:dyDescent="0.15">
      <c r="A167" s="322">
        <v>1343500932</v>
      </c>
      <c r="B167" s="322" t="s">
        <v>414</v>
      </c>
      <c r="E167">
        <v>1342400936</v>
      </c>
      <c r="G167">
        <f t="shared" si="2"/>
        <v>1343500932</v>
      </c>
    </row>
    <row r="168" spans="1:7" ht="14" x14ac:dyDescent="0.15">
      <c r="A168" s="322">
        <v>1343500934</v>
      </c>
      <c r="B168" s="322" t="s">
        <v>415</v>
      </c>
      <c r="E168">
        <v>1342400937</v>
      </c>
      <c r="G168">
        <f t="shared" si="2"/>
        <v>1343500934</v>
      </c>
    </row>
    <row r="169" spans="1:7" ht="14" x14ac:dyDescent="0.15">
      <c r="A169" s="322">
        <v>1343500935</v>
      </c>
      <c r="B169" s="322" t="s">
        <v>416</v>
      </c>
      <c r="E169">
        <v>1342401930</v>
      </c>
      <c r="G169">
        <f t="shared" si="2"/>
        <v>1343500935</v>
      </c>
    </row>
    <row r="170" spans="1:7" ht="14" x14ac:dyDescent="0.15">
      <c r="A170" s="322">
        <v>1343500937</v>
      </c>
      <c r="B170" s="322" t="s">
        <v>417</v>
      </c>
      <c r="E170">
        <v>1342401931</v>
      </c>
      <c r="G170">
        <f t="shared" si="2"/>
        <v>1343500937</v>
      </c>
    </row>
    <row r="171" spans="1:7" ht="14" x14ac:dyDescent="0.15">
      <c r="A171" s="322">
        <v>1343500939</v>
      </c>
      <c r="B171" s="322" t="s">
        <v>418</v>
      </c>
      <c r="E171">
        <v>1343500420</v>
      </c>
      <c r="G171">
        <f t="shared" si="2"/>
        <v>1343500939</v>
      </c>
    </row>
    <row r="172" spans="1:7" ht="14" x14ac:dyDescent="0.15">
      <c r="A172" s="322">
        <v>1343500940</v>
      </c>
      <c r="B172" s="322" t="s">
        <v>58</v>
      </c>
      <c r="E172">
        <v>1343500930</v>
      </c>
      <c r="G172">
        <f t="shared" si="2"/>
        <v>1343500940</v>
      </c>
    </row>
    <row r="173" spans="1:7" ht="14" x14ac:dyDescent="0.15">
      <c r="A173" s="322">
        <v>1343500941</v>
      </c>
      <c r="B173" s="322" t="s">
        <v>1593</v>
      </c>
      <c r="E173">
        <v>1343500931</v>
      </c>
      <c r="G173">
        <f t="shared" si="2"/>
        <v>1343500941</v>
      </c>
    </row>
    <row r="174" spans="1:7" ht="14" x14ac:dyDescent="0.15">
      <c r="A174" s="322">
        <v>1343523410</v>
      </c>
      <c r="B174" s="322" t="s">
        <v>298</v>
      </c>
      <c r="E174">
        <v>1343500932</v>
      </c>
      <c r="G174">
        <f t="shared" si="2"/>
        <v>1343523410</v>
      </c>
    </row>
    <row r="175" spans="1:7" ht="14" x14ac:dyDescent="0.15">
      <c r="A175" s="322">
        <v>1343800410</v>
      </c>
      <c r="B175" s="322" t="s">
        <v>1411</v>
      </c>
      <c r="E175">
        <v>1343500934</v>
      </c>
      <c r="G175">
        <f t="shared" si="2"/>
        <v>1343800410</v>
      </c>
    </row>
    <row r="176" spans="1:7" ht="14" x14ac:dyDescent="0.15">
      <c r="A176" s="322">
        <v>1343800420</v>
      </c>
      <c r="B176" s="322" t="s">
        <v>299</v>
      </c>
      <c r="E176">
        <v>1343500935</v>
      </c>
      <c r="G176">
        <f t="shared" si="2"/>
        <v>1343800420</v>
      </c>
    </row>
    <row r="177" spans="1:7" ht="14" x14ac:dyDescent="0.15">
      <c r="A177" s="322">
        <v>1343800421</v>
      </c>
      <c r="B177" s="322" t="s">
        <v>1192</v>
      </c>
      <c r="E177">
        <v>1343500937</v>
      </c>
      <c r="G177" t="e">
        <f t="shared" si="2"/>
        <v>#N/A</v>
      </c>
    </row>
    <row r="178" spans="1:7" ht="14" x14ac:dyDescent="0.15">
      <c r="A178" s="322">
        <v>1343800930</v>
      </c>
      <c r="B178" s="322" t="s">
        <v>419</v>
      </c>
      <c r="E178">
        <v>1343500939</v>
      </c>
      <c r="G178">
        <f t="shared" si="2"/>
        <v>1343800930</v>
      </c>
    </row>
    <row r="179" spans="1:7" ht="14" x14ac:dyDescent="0.15">
      <c r="A179" s="322">
        <v>1343800935</v>
      </c>
      <c r="B179" s="322" t="s">
        <v>420</v>
      </c>
      <c r="E179">
        <v>1343500940</v>
      </c>
      <c r="G179">
        <f t="shared" si="2"/>
        <v>1343800935</v>
      </c>
    </row>
    <row r="180" spans="1:7" ht="14" x14ac:dyDescent="0.15">
      <c r="A180" s="322">
        <v>1343900930</v>
      </c>
      <c r="B180" s="322" t="s">
        <v>421</v>
      </c>
      <c r="E180">
        <v>1343500941</v>
      </c>
      <c r="G180">
        <f t="shared" si="2"/>
        <v>1343900930</v>
      </c>
    </row>
    <row r="181" spans="1:7" ht="14" x14ac:dyDescent="0.15">
      <c r="A181" s="322">
        <v>1344300420</v>
      </c>
      <c r="B181" s="322" t="s">
        <v>300</v>
      </c>
      <c r="E181">
        <v>1343523410</v>
      </c>
      <c r="G181">
        <f t="shared" si="2"/>
        <v>1344300420</v>
      </c>
    </row>
    <row r="182" spans="1:7" ht="14" x14ac:dyDescent="0.15">
      <c r="A182" s="322">
        <v>1344300421</v>
      </c>
      <c r="B182" s="322" t="s">
        <v>301</v>
      </c>
      <c r="E182">
        <v>1343800410</v>
      </c>
      <c r="G182">
        <f t="shared" si="2"/>
        <v>1344300421</v>
      </c>
    </row>
    <row r="183" spans="1:7" ht="14" x14ac:dyDescent="0.15">
      <c r="A183" s="322">
        <v>1344300930</v>
      </c>
      <c r="B183" s="322" t="s">
        <v>300</v>
      </c>
      <c r="E183">
        <v>1343800420</v>
      </c>
      <c r="G183">
        <f t="shared" si="2"/>
        <v>1344300930</v>
      </c>
    </row>
    <row r="184" spans="1:7" ht="14" x14ac:dyDescent="0.15">
      <c r="A184" s="322">
        <v>1344300932</v>
      </c>
      <c r="B184" s="322" t="s">
        <v>59</v>
      </c>
      <c r="E184">
        <v>1343800930</v>
      </c>
      <c r="G184">
        <f t="shared" si="2"/>
        <v>1344300932</v>
      </c>
    </row>
    <row r="185" spans="1:7" ht="14" x14ac:dyDescent="0.15">
      <c r="A185" s="322">
        <v>1344324410</v>
      </c>
      <c r="B185" s="322" t="s">
        <v>1193</v>
      </c>
      <c r="E185">
        <v>1343800935</v>
      </c>
      <c r="G185" t="e">
        <f t="shared" si="2"/>
        <v>#N/A</v>
      </c>
    </row>
    <row r="186" spans="1:7" ht="14" x14ac:dyDescent="0.15">
      <c r="A186" s="322">
        <v>1344400931</v>
      </c>
      <c r="B186" s="322" t="s">
        <v>422</v>
      </c>
      <c r="E186">
        <v>1343900930</v>
      </c>
      <c r="G186">
        <f t="shared" si="2"/>
        <v>1344400931</v>
      </c>
    </row>
    <row r="187" spans="1:7" ht="14" x14ac:dyDescent="0.15">
      <c r="A187" s="322">
        <v>1344400932</v>
      </c>
      <c r="B187" s="322" t="s">
        <v>423</v>
      </c>
      <c r="E187">
        <v>1344300420</v>
      </c>
      <c r="G187">
        <f t="shared" si="2"/>
        <v>1344400932</v>
      </c>
    </row>
    <row r="188" spans="1:7" ht="14" x14ac:dyDescent="0.15">
      <c r="A188" s="322">
        <v>1344400933</v>
      </c>
      <c r="B188" s="322" t="s">
        <v>1194</v>
      </c>
      <c r="E188">
        <v>1344300421</v>
      </c>
      <c r="G188" t="e">
        <f t="shared" si="2"/>
        <v>#N/A</v>
      </c>
    </row>
    <row r="189" spans="1:7" ht="14" x14ac:dyDescent="0.15">
      <c r="A189" s="322">
        <v>1344400934</v>
      </c>
      <c r="B189" s="322" t="s">
        <v>424</v>
      </c>
      <c r="E189">
        <v>1344300930</v>
      </c>
      <c r="G189">
        <f t="shared" si="2"/>
        <v>1344400934</v>
      </c>
    </row>
    <row r="190" spans="1:7" ht="14" x14ac:dyDescent="0.15">
      <c r="A190" s="322">
        <v>1344400935</v>
      </c>
      <c r="B190" s="322" t="s">
        <v>425</v>
      </c>
      <c r="E190">
        <v>1344300932</v>
      </c>
      <c r="G190">
        <f t="shared" si="2"/>
        <v>1344400935</v>
      </c>
    </row>
    <row r="191" spans="1:7" ht="14" x14ac:dyDescent="0.15">
      <c r="A191" s="322">
        <v>1344400936</v>
      </c>
      <c r="B191" s="322" t="s">
        <v>60</v>
      </c>
      <c r="E191">
        <v>1344400931</v>
      </c>
      <c r="G191" t="e">
        <f t="shared" si="2"/>
        <v>#N/A</v>
      </c>
    </row>
    <row r="192" spans="1:7" ht="14" x14ac:dyDescent="0.15">
      <c r="A192" s="322">
        <v>1344400939</v>
      </c>
      <c r="B192" s="322" t="s">
        <v>426</v>
      </c>
      <c r="E192">
        <v>1344400932</v>
      </c>
      <c r="G192">
        <f t="shared" si="2"/>
        <v>1344400939</v>
      </c>
    </row>
    <row r="193" spans="1:7" ht="14" x14ac:dyDescent="0.15">
      <c r="A193" s="322">
        <v>1344400940</v>
      </c>
      <c r="B193" s="322" t="s">
        <v>1482</v>
      </c>
      <c r="E193">
        <v>1344400934</v>
      </c>
      <c r="G193">
        <f t="shared" si="2"/>
        <v>1344400940</v>
      </c>
    </row>
    <row r="194" spans="1:7" ht="14" x14ac:dyDescent="0.15">
      <c r="A194" s="322">
        <v>1344400941</v>
      </c>
      <c r="B194" s="322" t="s">
        <v>1594</v>
      </c>
      <c r="E194">
        <v>1344400935</v>
      </c>
      <c r="G194">
        <f t="shared" si="2"/>
        <v>1344400941</v>
      </c>
    </row>
    <row r="195" spans="1:7" ht="14" x14ac:dyDescent="0.15">
      <c r="A195" s="322">
        <v>1344400942</v>
      </c>
      <c r="B195" s="322" t="s">
        <v>1722</v>
      </c>
      <c r="E195">
        <v>1344400939</v>
      </c>
      <c r="G195">
        <f t="shared" ref="G195:G258" si="3">VLOOKUP(A195,$E$2:$E$1373,1,FALSE)</f>
        <v>1344400942</v>
      </c>
    </row>
    <row r="196" spans="1:7" ht="14" x14ac:dyDescent="0.15">
      <c r="A196" s="322">
        <v>1344400943</v>
      </c>
      <c r="B196" s="322" t="s">
        <v>1951</v>
      </c>
      <c r="E196">
        <v>1344400940</v>
      </c>
      <c r="G196">
        <f t="shared" si="3"/>
        <v>1344400943</v>
      </c>
    </row>
    <row r="197" spans="1:7" ht="14" x14ac:dyDescent="0.15">
      <c r="A197" s="322">
        <v>1344400944</v>
      </c>
      <c r="B197" s="322" t="s">
        <v>2084</v>
      </c>
      <c r="E197">
        <v>1344400941</v>
      </c>
      <c r="G197">
        <f t="shared" si="3"/>
        <v>1344400944</v>
      </c>
    </row>
    <row r="198" spans="1:7" ht="14" x14ac:dyDescent="0.15">
      <c r="A198" s="322">
        <v>1344500420</v>
      </c>
      <c r="B198" s="322" t="s">
        <v>302</v>
      </c>
      <c r="E198">
        <v>1344400942</v>
      </c>
      <c r="G198">
        <f t="shared" si="3"/>
        <v>1344500420</v>
      </c>
    </row>
    <row r="199" spans="1:7" ht="14" x14ac:dyDescent="0.15">
      <c r="A199" s="322">
        <v>1344500930</v>
      </c>
      <c r="B199" s="322" t="s">
        <v>427</v>
      </c>
      <c r="E199">
        <v>1344400943</v>
      </c>
      <c r="G199">
        <f t="shared" si="3"/>
        <v>1344500930</v>
      </c>
    </row>
    <row r="200" spans="1:7" ht="14" x14ac:dyDescent="0.15">
      <c r="A200" s="322">
        <v>1344500933</v>
      </c>
      <c r="B200" s="322" t="s">
        <v>1481</v>
      </c>
      <c r="E200">
        <v>1344400944</v>
      </c>
      <c r="G200" t="e">
        <f t="shared" si="3"/>
        <v>#N/A</v>
      </c>
    </row>
    <row r="201" spans="1:7" ht="14" x14ac:dyDescent="0.15">
      <c r="A201" s="322">
        <v>1344500934</v>
      </c>
      <c r="B201" s="322" t="s">
        <v>1650</v>
      </c>
      <c r="E201">
        <v>1344500420</v>
      </c>
      <c r="G201">
        <f t="shared" si="3"/>
        <v>1344500934</v>
      </c>
    </row>
    <row r="202" spans="1:7" ht="14" x14ac:dyDescent="0.15">
      <c r="A202" s="322">
        <v>1344500935</v>
      </c>
      <c r="B202" s="322" t="s">
        <v>1649</v>
      </c>
      <c r="E202">
        <v>1344500930</v>
      </c>
      <c r="G202">
        <f t="shared" si="3"/>
        <v>1344500935</v>
      </c>
    </row>
    <row r="203" spans="1:7" ht="14" x14ac:dyDescent="0.15">
      <c r="A203" s="322">
        <v>1345100420</v>
      </c>
      <c r="B203" s="322" t="s">
        <v>1196</v>
      </c>
      <c r="E203">
        <v>1344500934</v>
      </c>
      <c r="G203">
        <f t="shared" si="3"/>
        <v>1345100420</v>
      </c>
    </row>
    <row r="204" spans="1:7" ht="14" x14ac:dyDescent="0.15">
      <c r="A204" s="322">
        <v>1345100930</v>
      </c>
      <c r="B204" s="322" t="s">
        <v>429</v>
      </c>
      <c r="E204">
        <v>1344500935</v>
      </c>
      <c r="G204" t="e">
        <f t="shared" si="3"/>
        <v>#N/A</v>
      </c>
    </row>
    <row r="205" spans="1:7" ht="14" x14ac:dyDescent="0.15">
      <c r="A205" s="322">
        <v>1345100931</v>
      </c>
      <c r="B205" s="322" t="s">
        <v>430</v>
      </c>
      <c r="E205">
        <v>1345100420</v>
      </c>
      <c r="G205" t="e">
        <f t="shared" si="3"/>
        <v>#N/A</v>
      </c>
    </row>
    <row r="206" spans="1:7" ht="14" x14ac:dyDescent="0.15">
      <c r="A206" s="322">
        <v>1345100932</v>
      </c>
      <c r="B206" s="322" t="s">
        <v>431</v>
      </c>
      <c r="E206">
        <v>1345100932</v>
      </c>
      <c r="G206">
        <f t="shared" si="3"/>
        <v>1345100932</v>
      </c>
    </row>
    <row r="207" spans="1:7" ht="14" x14ac:dyDescent="0.15">
      <c r="A207" s="322">
        <v>1345100933</v>
      </c>
      <c r="B207" s="322" t="s">
        <v>432</v>
      </c>
      <c r="E207">
        <v>1345100933</v>
      </c>
      <c r="G207">
        <f t="shared" si="3"/>
        <v>1345100933</v>
      </c>
    </row>
    <row r="208" spans="1:7" ht="14" x14ac:dyDescent="0.15">
      <c r="A208" s="322">
        <v>1345100934</v>
      </c>
      <c r="B208" s="322" t="s">
        <v>1196</v>
      </c>
      <c r="E208">
        <v>1345100934</v>
      </c>
      <c r="G208">
        <f t="shared" si="3"/>
        <v>1345100934</v>
      </c>
    </row>
    <row r="209" spans="1:7" ht="14" x14ac:dyDescent="0.15">
      <c r="A209" s="322">
        <v>1345100935</v>
      </c>
      <c r="B209" s="322" t="s">
        <v>433</v>
      </c>
      <c r="E209">
        <v>1345100935</v>
      </c>
      <c r="G209">
        <f t="shared" si="3"/>
        <v>1345100935</v>
      </c>
    </row>
    <row r="210" spans="1:7" ht="14" x14ac:dyDescent="0.15">
      <c r="A210" s="322">
        <v>1345100936</v>
      </c>
      <c r="B210" s="322" t="s">
        <v>434</v>
      </c>
      <c r="E210">
        <v>1345100936</v>
      </c>
      <c r="G210">
        <f t="shared" si="3"/>
        <v>1345100936</v>
      </c>
    </row>
    <row r="211" spans="1:7" ht="14" x14ac:dyDescent="0.15">
      <c r="A211" s="322">
        <v>1345100937</v>
      </c>
      <c r="B211" s="322" t="s">
        <v>94</v>
      </c>
      <c r="E211">
        <v>1345100938</v>
      </c>
      <c r="G211" t="e">
        <f t="shared" si="3"/>
        <v>#N/A</v>
      </c>
    </row>
    <row r="212" spans="1:7" ht="14" x14ac:dyDescent="0.15">
      <c r="A212" s="322">
        <v>1345100938</v>
      </c>
      <c r="B212" s="322" t="s">
        <v>1412</v>
      </c>
      <c r="E212">
        <v>1345100939</v>
      </c>
      <c r="G212">
        <f t="shared" si="3"/>
        <v>1345100938</v>
      </c>
    </row>
    <row r="213" spans="1:7" ht="14" x14ac:dyDescent="0.15">
      <c r="A213" s="322">
        <v>1345100939</v>
      </c>
      <c r="B213" s="322" t="s">
        <v>1413</v>
      </c>
      <c r="E213">
        <v>1345100940</v>
      </c>
      <c r="G213">
        <f t="shared" si="3"/>
        <v>1345100939</v>
      </c>
    </row>
    <row r="214" spans="1:7" ht="14" x14ac:dyDescent="0.15">
      <c r="A214" s="322">
        <v>1345100940</v>
      </c>
      <c r="B214" s="322" t="s">
        <v>61</v>
      </c>
      <c r="E214">
        <v>1345100941</v>
      </c>
      <c r="G214">
        <f t="shared" si="3"/>
        <v>1345100940</v>
      </c>
    </row>
    <row r="215" spans="1:7" ht="14" x14ac:dyDescent="0.15">
      <c r="A215" s="322">
        <v>1345100941</v>
      </c>
      <c r="B215" s="322" t="s">
        <v>62</v>
      </c>
      <c r="E215">
        <v>1345100942</v>
      </c>
      <c r="G215">
        <f t="shared" si="3"/>
        <v>1345100941</v>
      </c>
    </row>
    <row r="216" spans="1:7" ht="14" x14ac:dyDescent="0.15">
      <c r="A216" s="322">
        <v>1345100942</v>
      </c>
      <c r="B216" s="322" t="s">
        <v>1480</v>
      </c>
      <c r="E216">
        <v>1345100943</v>
      </c>
      <c r="G216">
        <f t="shared" si="3"/>
        <v>1345100942</v>
      </c>
    </row>
    <row r="217" spans="1:7" ht="14" x14ac:dyDescent="0.15">
      <c r="A217" s="322">
        <v>1345100943</v>
      </c>
      <c r="B217" s="322" t="s">
        <v>1952</v>
      </c>
      <c r="E217">
        <v>1345200931</v>
      </c>
      <c r="G217">
        <f t="shared" si="3"/>
        <v>1345100943</v>
      </c>
    </row>
    <row r="218" spans="1:7" ht="14" x14ac:dyDescent="0.15">
      <c r="A218" s="322">
        <v>1345200930</v>
      </c>
      <c r="B218" s="322" t="s">
        <v>435</v>
      </c>
      <c r="E218">
        <v>1345200932</v>
      </c>
      <c r="G218" t="e">
        <f t="shared" si="3"/>
        <v>#N/A</v>
      </c>
    </row>
    <row r="219" spans="1:7" ht="14" x14ac:dyDescent="0.15">
      <c r="A219" s="322">
        <v>1345200931</v>
      </c>
      <c r="B219" s="322" t="s">
        <v>436</v>
      </c>
      <c r="E219">
        <v>1345200937</v>
      </c>
      <c r="G219">
        <f t="shared" si="3"/>
        <v>1345200931</v>
      </c>
    </row>
    <row r="220" spans="1:7" ht="14" x14ac:dyDescent="0.15">
      <c r="A220" s="322">
        <v>1345200932</v>
      </c>
      <c r="B220" s="322" t="s">
        <v>437</v>
      </c>
      <c r="E220">
        <v>1345300420</v>
      </c>
      <c r="G220">
        <f t="shared" si="3"/>
        <v>1345200932</v>
      </c>
    </row>
    <row r="221" spans="1:7" ht="14" x14ac:dyDescent="0.15">
      <c r="A221" s="322">
        <v>1345200936</v>
      </c>
      <c r="B221" s="322" t="s">
        <v>63</v>
      </c>
      <c r="E221">
        <v>1345300930</v>
      </c>
      <c r="G221" t="e">
        <f t="shared" si="3"/>
        <v>#N/A</v>
      </c>
    </row>
    <row r="222" spans="1:7" ht="14" x14ac:dyDescent="0.15">
      <c r="A222" s="322">
        <v>1345200937</v>
      </c>
      <c r="B222" s="322" t="s">
        <v>64</v>
      </c>
      <c r="E222">
        <v>1345300931</v>
      </c>
      <c r="G222">
        <f t="shared" si="3"/>
        <v>1345200937</v>
      </c>
    </row>
    <row r="223" spans="1:7" ht="14" x14ac:dyDescent="0.15">
      <c r="A223" s="322">
        <v>1345300420</v>
      </c>
      <c r="B223" s="322" t="s">
        <v>1197</v>
      </c>
      <c r="E223">
        <v>1345300933</v>
      </c>
      <c r="G223">
        <f t="shared" si="3"/>
        <v>1345300420</v>
      </c>
    </row>
    <row r="224" spans="1:7" ht="14" x14ac:dyDescent="0.15">
      <c r="A224" s="322">
        <v>1345300930</v>
      </c>
      <c r="B224" s="322" t="s">
        <v>298</v>
      </c>
      <c r="E224">
        <v>1345300936</v>
      </c>
      <c r="G224">
        <f t="shared" si="3"/>
        <v>1345300930</v>
      </c>
    </row>
    <row r="225" spans="1:7" ht="14" x14ac:dyDescent="0.15">
      <c r="A225" s="322">
        <v>1345300931</v>
      </c>
      <c r="B225" s="322" t="s">
        <v>439</v>
      </c>
      <c r="E225">
        <v>1345300937</v>
      </c>
      <c r="G225">
        <f t="shared" si="3"/>
        <v>1345300931</v>
      </c>
    </row>
    <row r="226" spans="1:7" ht="14" x14ac:dyDescent="0.15">
      <c r="A226" s="322">
        <v>1345300933</v>
      </c>
      <c r="B226" s="322" t="s">
        <v>440</v>
      </c>
      <c r="E226">
        <v>1345300938</v>
      </c>
      <c r="G226">
        <f t="shared" si="3"/>
        <v>1345300933</v>
      </c>
    </row>
    <row r="227" spans="1:7" ht="14" x14ac:dyDescent="0.15">
      <c r="A227" s="322">
        <v>1345300935</v>
      </c>
      <c r="B227" s="322" t="s">
        <v>441</v>
      </c>
      <c r="E227">
        <v>1345523410</v>
      </c>
      <c r="G227" t="e">
        <f t="shared" si="3"/>
        <v>#N/A</v>
      </c>
    </row>
    <row r="228" spans="1:7" ht="14" x14ac:dyDescent="0.15">
      <c r="A228" s="322">
        <v>1345300936</v>
      </c>
      <c r="B228" s="322" t="s">
        <v>87</v>
      </c>
      <c r="E228">
        <v>1346100930</v>
      </c>
      <c r="G228">
        <f t="shared" si="3"/>
        <v>1345300936</v>
      </c>
    </row>
    <row r="229" spans="1:7" ht="14" x14ac:dyDescent="0.15">
      <c r="A229" s="322">
        <v>1345300937</v>
      </c>
      <c r="B229" s="322" t="s">
        <v>65</v>
      </c>
      <c r="E229">
        <v>1346300931</v>
      </c>
      <c r="G229">
        <f t="shared" si="3"/>
        <v>1345300937</v>
      </c>
    </row>
    <row r="230" spans="1:7" ht="14" x14ac:dyDescent="0.15">
      <c r="A230" s="322">
        <v>1345300938</v>
      </c>
      <c r="B230" s="322" t="s">
        <v>66</v>
      </c>
      <c r="E230">
        <v>1346300933</v>
      </c>
      <c r="G230">
        <f t="shared" si="3"/>
        <v>1345300938</v>
      </c>
    </row>
    <row r="231" spans="1:7" ht="14" x14ac:dyDescent="0.15">
      <c r="A231" s="322">
        <v>1345523410</v>
      </c>
      <c r="B231" s="322" t="s">
        <v>298</v>
      </c>
      <c r="E231">
        <v>1346400930</v>
      </c>
      <c r="G231">
        <f t="shared" si="3"/>
        <v>1345523410</v>
      </c>
    </row>
    <row r="232" spans="1:7" ht="14" x14ac:dyDescent="0.15">
      <c r="A232" s="322">
        <v>1346100930</v>
      </c>
      <c r="B232" s="322" t="s">
        <v>442</v>
      </c>
      <c r="E232">
        <v>1346400931</v>
      </c>
      <c r="G232">
        <f t="shared" si="3"/>
        <v>1346100930</v>
      </c>
    </row>
    <row r="233" spans="1:7" ht="14" x14ac:dyDescent="0.15">
      <c r="A233" s="322">
        <v>1346300931</v>
      </c>
      <c r="B233" s="322" t="s">
        <v>443</v>
      </c>
      <c r="E233">
        <v>1346500930</v>
      </c>
      <c r="G233">
        <f t="shared" si="3"/>
        <v>1346300931</v>
      </c>
    </row>
    <row r="234" spans="1:7" ht="14" x14ac:dyDescent="0.15">
      <c r="A234" s="322">
        <v>1346300933</v>
      </c>
      <c r="B234" s="322" t="s">
        <v>444</v>
      </c>
      <c r="E234">
        <v>1346500932</v>
      </c>
      <c r="G234">
        <f t="shared" si="3"/>
        <v>1346300933</v>
      </c>
    </row>
    <row r="235" spans="1:7" ht="14" x14ac:dyDescent="0.15">
      <c r="A235" s="322">
        <v>1346400930</v>
      </c>
      <c r="B235" s="322" t="s">
        <v>1415</v>
      </c>
      <c r="E235">
        <v>1346600930</v>
      </c>
      <c r="G235">
        <f t="shared" si="3"/>
        <v>1346400930</v>
      </c>
    </row>
    <row r="236" spans="1:7" ht="14" x14ac:dyDescent="0.15">
      <c r="A236" s="322">
        <v>1346400931</v>
      </c>
      <c r="B236" s="322" t="s">
        <v>445</v>
      </c>
      <c r="E236">
        <v>1346600931</v>
      </c>
      <c r="G236">
        <f t="shared" si="3"/>
        <v>1346400931</v>
      </c>
    </row>
    <row r="237" spans="1:7" ht="14" x14ac:dyDescent="0.15">
      <c r="A237" s="322">
        <v>1346500930</v>
      </c>
      <c r="B237" s="322" t="s">
        <v>446</v>
      </c>
      <c r="E237">
        <v>1346600933</v>
      </c>
      <c r="G237">
        <f t="shared" si="3"/>
        <v>1346500930</v>
      </c>
    </row>
    <row r="238" spans="1:7" ht="14" x14ac:dyDescent="0.15">
      <c r="A238" s="322">
        <v>1346500932</v>
      </c>
      <c r="B238" s="322" t="s">
        <v>2085</v>
      </c>
      <c r="E238">
        <v>1346700420</v>
      </c>
      <c r="G238">
        <f t="shared" si="3"/>
        <v>1346500932</v>
      </c>
    </row>
    <row r="239" spans="1:7" ht="14" x14ac:dyDescent="0.15">
      <c r="A239" s="322">
        <v>1346600930</v>
      </c>
      <c r="B239" s="322" t="s">
        <v>447</v>
      </c>
      <c r="E239">
        <v>1346700930</v>
      </c>
      <c r="G239">
        <f t="shared" si="3"/>
        <v>1346600930</v>
      </c>
    </row>
    <row r="240" spans="1:7" ht="14" x14ac:dyDescent="0.15">
      <c r="A240" s="322">
        <v>1346600931</v>
      </c>
      <c r="B240" s="322" t="s">
        <v>448</v>
      </c>
      <c r="E240">
        <v>1346700931</v>
      </c>
      <c r="G240">
        <f t="shared" si="3"/>
        <v>1346600931</v>
      </c>
    </row>
    <row r="241" spans="1:7" ht="14" x14ac:dyDescent="0.15">
      <c r="A241" s="322">
        <v>1346600933</v>
      </c>
      <c r="B241" s="322" t="s">
        <v>1479</v>
      </c>
      <c r="E241">
        <v>1346700933</v>
      </c>
      <c r="G241">
        <f t="shared" si="3"/>
        <v>1346600933</v>
      </c>
    </row>
    <row r="242" spans="1:7" ht="14" x14ac:dyDescent="0.15">
      <c r="A242" s="322">
        <v>1346700420</v>
      </c>
      <c r="B242" s="322" t="s">
        <v>303</v>
      </c>
      <c r="E242">
        <v>1346700934</v>
      </c>
      <c r="G242">
        <f t="shared" si="3"/>
        <v>1346700420</v>
      </c>
    </row>
    <row r="243" spans="1:7" ht="14" x14ac:dyDescent="0.15">
      <c r="A243" s="322">
        <v>1346700930</v>
      </c>
      <c r="B243" s="322" t="s">
        <v>449</v>
      </c>
      <c r="E243">
        <v>1346700935</v>
      </c>
      <c r="G243">
        <f t="shared" si="3"/>
        <v>1346700930</v>
      </c>
    </row>
    <row r="244" spans="1:7" ht="14" x14ac:dyDescent="0.15">
      <c r="A244" s="322">
        <v>1346700931</v>
      </c>
      <c r="B244" s="322" t="s">
        <v>1417</v>
      </c>
      <c r="E244">
        <v>1346700936</v>
      </c>
      <c r="G244">
        <f t="shared" si="3"/>
        <v>1346700931</v>
      </c>
    </row>
    <row r="245" spans="1:7" ht="14" x14ac:dyDescent="0.15">
      <c r="A245" s="322">
        <v>1346700933</v>
      </c>
      <c r="B245" s="322" t="s">
        <v>303</v>
      </c>
      <c r="E245">
        <v>1346700938</v>
      </c>
      <c r="G245">
        <f t="shared" si="3"/>
        <v>1346700933</v>
      </c>
    </row>
    <row r="246" spans="1:7" ht="14" x14ac:dyDescent="0.15">
      <c r="A246" s="322">
        <v>1346700934</v>
      </c>
      <c r="B246" s="322" t="s">
        <v>450</v>
      </c>
      <c r="E246">
        <v>1346700939</v>
      </c>
      <c r="G246">
        <f t="shared" si="3"/>
        <v>1346700934</v>
      </c>
    </row>
    <row r="247" spans="1:7" ht="14" x14ac:dyDescent="0.15">
      <c r="A247" s="322">
        <v>1346700935</v>
      </c>
      <c r="B247" s="322" t="s">
        <v>451</v>
      </c>
      <c r="E247">
        <v>1346700950</v>
      </c>
      <c r="G247">
        <f t="shared" si="3"/>
        <v>1346700935</v>
      </c>
    </row>
    <row r="248" spans="1:7" ht="14" x14ac:dyDescent="0.15">
      <c r="A248" s="322">
        <v>1346700936</v>
      </c>
      <c r="B248" s="322" t="s">
        <v>452</v>
      </c>
      <c r="E248">
        <v>1346800932</v>
      </c>
      <c r="G248">
        <f t="shared" si="3"/>
        <v>1346700936</v>
      </c>
    </row>
    <row r="249" spans="1:7" ht="14" x14ac:dyDescent="0.15">
      <c r="A249" s="322">
        <v>1346700938</v>
      </c>
      <c r="B249" s="322" t="s">
        <v>454</v>
      </c>
      <c r="E249">
        <v>1346800933</v>
      </c>
      <c r="G249">
        <f t="shared" si="3"/>
        <v>1346700938</v>
      </c>
    </row>
    <row r="250" spans="1:7" ht="14" x14ac:dyDescent="0.15">
      <c r="A250" s="322">
        <v>1346700939</v>
      </c>
      <c r="B250" s="322" t="s">
        <v>88</v>
      </c>
      <c r="E250">
        <v>1346800934</v>
      </c>
      <c r="G250">
        <f t="shared" si="3"/>
        <v>1346700939</v>
      </c>
    </row>
    <row r="251" spans="1:7" ht="14" x14ac:dyDescent="0.15">
      <c r="A251" s="322">
        <v>1346700950</v>
      </c>
      <c r="B251" s="322" t="s">
        <v>1595</v>
      </c>
      <c r="E251">
        <v>1346800936</v>
      </c>
      <c r="G251">
        <f t="shared" si="3"/>
        <v>1346700950</v>
      </c>
    </row>
    <row r="252" spans="1:7" ht="14" x14ac:dyDescent="0.15">
      <c r="A252" s="322">
        <v>1346800932</v>
      </c>
      <c r="B252" s="322" t="s">
        <v>455</v>
      </c>
      <c r="E252">
        <v>1346800938</v>
      </c>
      <c r="G252">
        <f t="shared" si="3"/>
        <v>1346800932</v>
      </c>
    </row>
    <row r="253" spans="1:7" ht="14" x14ac:dyDescent="0.15">
      <c r="A253" s="322">
        <v>1346800933</v>
      </c>
      <c r="B253" s="322" t="s">
        <v>456</v>
      </c>
      <c r="E253">
        <v>1346800940</v>
      </c>
      <c r="G253">
        <f t="shared" si="3"/>
        <v>1346800933</v>
      </c>
    </row>
    <row r="254" spans="1:7" ht="14" x14ac:dyDescent="0.15">
      <c r="A254" s="322">
        <v>1346800934</v>
      </c>
      <c r="B254" s="322" t="s">
        <v>457</v>
      </c>
      <c r="E254">
        <v>1346800942</v>
      </c>
      <c r="G254">
        <f t="shared" si="3"/>
        <v>1346800934</v>
      </c>
    </row>
    <row r="255" spans="1:7" ht="14" x14ac:dyDescent="0.15">
      <c r="A255" s="322">
        <v>1346800935</v>
      </c>
      <c r="B255" s="322" t="s">
        <v>458</v>
      </c>
      <c r="E255">
        <v>1346900420</v>
      </c>
      <c r="G255" t="e">
        <f t="shared" si="3"/>
        <v>#N/A</v>
      </c>
    </row>
    <row r="256" spans="1:7" ht="14" x14ac:dyDescent="0.15">
      <c r="A256" s="322">
        <v>1346800936</v>
      </c>
      <c r="B256" s="322" t="s">
        <v>459</v>
      </c>
      <c r="E256">
        <v>1346900920</v>
      </c>
      <c r="G256">
        <f t="shared" si="3"/>
        <v>1346800936</v>
      </c>
    </row>
    <row r="257" spans="1:7" ht="14" x14ac:dyDescent="0.15">
      <c r="A257" s="322">
        <v>1346800938</v>
      </c>
      <c r="B257" s="322" t="s">
        <v>1596</v>
      </c>
      <c r="E257">
        <v>1347100931</v>
      </c>
      <c r="G257">
        <f t="shared" si="3"/>
        <v>1346800938</v>
      </c>
    </row>
    <row r="258" spans="1:7" ht="14" x14ac:dyDescent="0.15">
      <c r="A258" s="322">
        <v>1346800940</v>
      </c>
      <c r="B258" s="322" t="s">
        <v>67</v>
      </c>
      <c r="E258">
        <v>1347100932</v>
      </c>
      <c r="G258">
        <f t="shared" si="3"/>
        <v>1346800940</v>
      </c>
    </row>
    <row r="259" spans="1:7" ht="14" x14ac:dyDescent="0.15">
      <c r="A259" s="322">
        <v>1346800941</v>
      </c>
      <c r="B259" s="322" t="s">
        <v>68</v>
      </c>
      <c r="E259">
        <v>1347100933</v>
      </c>
      <c r="G259" t="e">
        <f t="shared" ref="G259:G322" si="4">VLOOKUP(A259,$E$2:$E$1373,1,FALSE)</f>
        <v>#N/A</v>
      </c>
    </row>
    <row r="260" spans="1:7" ht="14" x14ac:dyDescent="0.15">
      <c r="A260" s="322">
        <v>1346800942</v>
      </c>
      <c r="B260" s="322" t="s">
        <v>1955</v>
      </c>
      <c r="E260">
        <v>1347100934</v>
      </c>
      <c r="G260">
        <f t="shared" si="4"/>
        <v>1346800942</v>
      </c>
    </row>
    <row r="261" spans="1:7" ht="14" x14ac:dyDescent="0.15">
      <c r="A261" s="322">
        <v>1346900420</v>
      </c>
      <c r="B261" s="322" t="s">
        <v>1597</v>
      </c>
      <c r="E261">
        <v>1347100935</v>
      </c>
      <c r="G261">
        <f t="shared" si="4"/>
        <v>1346900420</v>
      </c>
    </row>
    <row r="262" spans="1:7" ht="14" x14ac:dyDescent="0.15">
      <c r="A262" s="322">
        <v>1346900920</v>
      </c>
      <c r="B262" s="322" t="s">
        <v>1597</v>
      </c>
      <c r="E262">
        <v>1347100936</v>
      </c>
      <c r="G262">
        <f t="shared" si="4"/>
        <v>1346900920</v>
      </c>
    </row>
    <row r="263" spans="1:7" ht="14" x14ac:dyDescent="0.15">
      <c r="A263" s="322">
        <v>1347100931</v>
      </c>
      <c r="B263" s="322" t="s">
        <v>461</v>
      </c>
      <c r="E263">
        <v>1347100940</v>
      </c>
      <c r="G263">
        <f t="shared" si="4"/>
        <v>1347100931</v>
      </c>
    </row>
    <row r="264" spans="1:7" ht="14" x14ac:dyDescent="0.15">
      <c r="A264" s="322">
        <v>1347100932</v>
      </c>
      <c r="B264" s="322" t="s">
        <v>1198</v>
      </c>
      <c r="E264">
        <v>1347100952</v>
      </c>
      <c r="G264">
        <f t="shared" si="4"/>
        <v>1347100932</v>
      </c>
    </row>
    <row r="265" spans="1:7" ht="14" x14ac:dyDescent="0.15">
      <c r="A265" s="322">
        <v>1347100933</v>
      </c>
      <c r="B265" s="322" t="s">
        <v>462</v>
      </c>
      <c r="E265">
        <v>1347100953</v>
      </c>
      <c r="G265">
        <f t="shared" si="4"/>
        <v>1347100933</v>
      </c>
    </row>
    <row r="266" spans="1:7" ht="14" x14ac:dyDescent="0.15">
      <c r="A266" s="322">
        <v>1347100934</v>
      </c>
      <c r="B266" s="322" t="s">
        <v>463</v>
      </c>
      <c r="E266">
        <v>1347100954</v>
      </c>
      <c r="G266">
        <f t="shared" si="4"/>
        <v>1347100934</v>
      </c>
    </row>
    <row r="267" spans="1:7" ht="14" x14ac:dyDescent="0.15">
      <c r="A267" s="322">
        <v>1347100935</v>
      </c>
      <c r="B267" s="322" t="s">
        <v>1421</v>
      </c>
      <c r="E267">
        <v>1347110930</v>
      </c>
      <c r="G267">
        <f t="shared" si="4"/>
        <v>1347100935</v>
      </c>
    </row>
    <row r="268" spans="1:7" ht="14" x14ac:dyDescent="0.15">
      <c r="A268" s="322">
        <v>1347100936</v>
      </c>
      <c r="B268" s="322" t="s">
        <v>50</v>
      </c>
      <c r="E268">
        <v>1347300930</v>
      </c>
      <c r="G268">
        <f t="shared" si="4"/>
        <v>1347100936</v>
      </c>
    </row>
    <row r="269" spans="1:7" ht="14" x14ac:dyDescent="0.15">
      <c r="A269" s="322">
        <v>1347100940</v>
      </c>
      <c r="B269" s="322" t="s">
        <v>69</v>
      </c>
      <c r="E269">
        <v>1347300936</v>
      </c>
      <c r="G269">
        <f t="shared" si="4"/>
        <v>1347100940</v>
      </c>
    </row>
    <row r="270" spans="1:7" ht="14" x14ac:dyDescent="0.15">
      <c r="A270" s="322">
        <v>1347100952</v>
      </c>
      <c r="B270" s="322" t="s">
        <v>1957</v>
      </c>
      <c r="E270">
        <v>1347300937</v>
      </c>
      <c r="G270">
        <f t="shared" si="4"/>
        <v>1347100952</v>
      </c>
    </row>
    <row r="271" spans="1:7" ht="14" x14ac:dyDescent="0.15">
      <c r="A271" s="322">
        <v>1347100953</v>
      </c>
      <c r="B271" s="322" t="s">
        <v>1958</v>
      </c>
      <c r="E271">
        <v>1347400931</v>
      </c>
      <c r="G271">
        <f t="shared" si="4"/>
        <v>1347100953</v>
      </c>
    </row>
    <row r="272" spans="1:7" ht="14" x14ac:dyDescent="0.15">
      <c r="A272" s="322">
        <v>1347100954</v>
      </c>
      <c r="B272" s="322" t="s">
        <v>1959</v>
      </c>
      <c r="E272">
        <v>1347400933</v>
      </c>
      <c r="G272">
        <f t="shared" si="4"/>
        <v>1347100954</v>
      </c>
    </row>
    <row r="273" spans="1:7" ht="14" x14ac:dyDescent="0.15">
      <c r="A273" s="322">
        <v>1347110930</v>
      </c>
      <c r="B273" s="322" t="s">
        <v>464</v>
      </c>
      <c r="E273">
        <v>1347400936</v>
      </c>
      <c r="G273">
        <f t="shared" si="4"/>
        <v>1347110930</v>
      </c>
    </row>
    <row r="274" spans="1:7" ht="14" x14ac:dyDescent="0.15">
      <c r="A274" s="322">
        <v>1347140931</v>
      </c>
      <c r="B274" s="322" t="s">
        <v>1145</v>
      </c>
      <c r="E274">
        <v>1348200931</v>
      </c>
      <c r="G274" t="e">
        <f t="shared" si="4"/>
        <v>#N/A</v>
      </c>
    </row>
    <row r="275" spans="1:7" ht="14" x14ac:dyDescent="0.15">
      <c r="A275" s="322">
        <v>1347300930</v>
      </c>
      <c r="B275" s="322" t="s">
        <v>466</v>
      </c>
      <c r="E275">
        <v>1348200937</v>
      </c>
      <c r="G275">
        <f t="shared" si="4"/>
        <v>1347300930</v>
      </c>
    </row>
    <row r="276" spans="1:7" ht="14" x14ac:dyDescent="0.15">
      <c r="A276" s="322">
        <v>1347300936</v>
      </c>
      <c r="B276" s="322" t="s">
        <v>1425</v>
      </c>
      <c r="E276">
        <v>1348200938</v>
      </c>
      <c r="G276">
        <f t="shared" si="4"/>
        <v>1347300936</v>
      </c>
    </row>
    <row r="277" spans="1:7" ht="14" x14ac:dyDescent="0.15">
      <c r="A277" s="322">
        <v>1347300937</v>
      </c>
      <c r="B277" s="322" t="s">
        <v>96</v>
      </c>
      <c r="E277">
        <v>1348300930</v>
      </c>
      <c r="G277">
        <f t="shared" si="4"/>
        <v>1347300937</v>
      </c>
    </row>
    <row r="278" spans="1:7" ht="14" x14ac:dyDescent="0.15">
      <c r="A278" s="322">
        <v>1347300938</v>
      </c>
      <c r="B278" s="322" t="s">
        <v>1478</v>
      </c>
      <c r="E278">
        <v>1348300932</v>
      </c>
      <c r="G278" t="e">
        <f t="shared" si="4"/>
        <v>#N/A</v>
      </c>
    </row>
    <row r="279" spans="1:7" ht="14" x14ac:dyDescent="0.15">
      <c r="A279" s="322">
        <v>1347400931</v>
      </c>
      <c r="B279" s="322" t="s">
        <v>470</v>
      </c>
      <c r="E279">
        <v>1348400930</v>
      </c>
      <c r="G279">
        <f t="shared" si="4"/>
        <v>1347400931</v>
      </c>
    </row>
    <row r="280" spans="1:7" ht="14" x14ac:dyDescent="0.15">
      <c r="A280" s="322">
        <v>1347400933</v>
      </c>
      <c r="B280" s="322" t="s">
        <v>471</v>
      </c>
      <c r="E280">
        <v>1348500932</v>
      </c>
      <c r="G280">
        <f t="shared" si="4"/>
        <v>1347400933</v>
      </c>
    </row>
    <row r="281" spans="1:7" ht="14" x14ac:dyDescent="0.15">
      <c r="A281" s="322">
        <v>1347400935</v>
      </c>
      <c r="B281" s="322" t="s">
        <v>473</v>
      </c>
      <c r="E281">
        <v>1349000422</v>
      </c>
      <c r="G281" t="e">
        <f t="shared" si="4"/>
        <v>#N/A</v>
      </c>
    </row>
    <row r="282" spans="1:7" ht="14" x14ac:dyDescent="0.15">
      <c r="A282" s="322">
        <v>1347400936</v>
      </c>
      <c r="B282" s="322" t="s">
        <v>2027</v>
      </c>
      <c r="E282">
        <v>1349000930</v>
      </c>
      <c r="G282">
        <f t="shared" si="4"/>
        <v>1347400936</v>
      </c>
    </row>
    <row r="283" spans="1:7" ht="14" x14ac:dyDescent="0.15">
      <c r="A283" s="322">
        <v>1348200931</v>
      </c>
      <c r="B283" s="322" t="s">
        <v>474</v>
      </c>
      <c r="E283">
        <v>1349000932</v>
      </c>
      <c r="G283">
        <f t="shared" si="4"/>
        <v>1348200931</v>
      </c>
    </row>
    <row r="284" spans="1:7" ht="14" x14ac:dyDescent="0.15">
      <c r="A284" s="322">
        <v>1348200936</v>
      </c>
      <c r="B284" s="322" t="s">
        <v>1431</v>
      </c>
      <c r="E284">
        <v>1349000934</v>
      </c>
      <c r="G284" t="e">
        <f t="shared" si="4"/>
        <v>#N/A</v>
      </c>
    </row>
    <row r="285" spans="1:7" ht="14" x14ac:dyDescent="0.15">
      <c r="A285" s="322">
        <v>1348200937</v>
      </c>
      <c r="B285" s="322" t="s">
        <v>1365</v>
      </c>
      <c r="E285">
        <v>1349000935</v>
      </c>
      <c r="G285">
        <f t="shared" si="4"/>
        <v>1348200937</v>
      </c>
    </row>
    <row r="286" spans="1:7" ht="14" x14ac:dyDescent="0.15">
      <c r="A286" s="322">
        <v>1348200938</v>
      </c>
      <c r="B286" s="322" t="s">
        <v>1731</v>
      </c>
      <c r="E286">
        <v>1349000938</v>
      </c>
      <c r="G286">
        <f t="shared" si="4"/>
        <v>1348200938</v>
      </c>
    </row>
    <row r="287" spans="1:7" ht="14" x14ac:dyDescent="0.15">
      <c r="A287" s="322">
        <v>1348300930</v>
      </c>
      <c r="B287" s="322" t="s">
        <v>475</v>
      </c>
      <c r="E287">
        <v>1349000941</v>
      </c>
      <c r="G287">
        <f t="shared" si="4"/>
        <v>1348300930</v>
      </c>
    </row>
    <row r="288" spans="1:7" ht="14" x14ac:dyDescent="0.15">
      <c r="A288" s="322">
        <v>1348300932</v>
      </c>
      <c r="B288" s="322" t="s">
        <v>2086</v>
      </c>
      <c r="E288">
        <v>1349000952</v>
      </c>
      <c r="G288">
        <f t="shared" si="4"/>
        <v>1348300932</v>
      </c>
    </row>
    <row r="289" spans="1:7" ht="14" x14ac:dyDescent="0.15">
      <c r="A289" s="322">
        <v>1348400930</v>
      </c>
      <c r="B289" s="322" t="s">
        <v>476</v>
      </c>
      <c r="E289">
        <v>1349001931</v>
      </c>
      <c r="G289">
        <f t="shared" si="4"/>
        <v>1348400930</v>
      </c>
    </row>
    <row r="290" spans="1:7" ht="14" x14ac:dyDescent="0.15">
      <c r="A290" s="322">
        <v>1348500932</v>
      </c>
      <c r="B290" s="322" t="s">
        <v>477</v>
      </c>
      <c r="E290">
        <v>1349001937</v>
      </c>
      <c r="G290">
        <f t="shared" si="4"/>
        <v>1348500932</v>
      </c>
    </row>
    <row r="291" spans="1:7" ht="14" x14ac:dyDescent="0.15">
      <c r="A291" s="322">
        <v>1349000422</v>
      </c>
      <c r="B291" s="322" t="s">
        <v>1200</v>
      </c>
      <c r="E291">
        <v>1349001939</v>
      </c>
      <c r="G291">
        <f t="shared" si="4"/>
        <v>1349000422</v>
      </c>
    </row>
    <row r="292" spans="1:7" ht="14" x14ac:dyDescent="0.15">
      <c r="A292" s="322">
        <v>1349000930</v>
      </c>
      <c r="B292" s="322" t="s">
        <v>478</v>
      </c>
      <c r="E292">
        <v>1349002420</v>
      </c>
      <c r="G292">
        <f t="shared" si="4"/>
        <v>1349000930</v>
      </c>
    </row>
    <row r="293" spans="1:7" ht="14" x14ac:dyDescent="0.15">
      <c r="A293" s="322">
        <v>1349000931</v>
      </c>
      <c r="B293" s="322" t="s">
        <v>479</v>
      </c>
      <c r="E293">
        <v>1349002939</v>
      </c>
      <c r="G293" t="e">
        <f t="shared" si="4"/>
        <v>#N/A</v>
      </c>
    </row>
    <row r="294" spans="1:7" ht="14" x14ac:dyDescent="0.15">
      <c r="A294" s="322">
        <v>1349000932</v>
      </c>
      <c r="B294" s="322" t="s">
        <v>480</v>
      </c>
      <c r="E294">
        <v>1349300930</v>
      </c>
      <c r="G294">
        <f t="shared" si="4"/>
        <v>1349000932</v>
      </c>
    </row>
    <row r="295" spans="1:7" ht="14" x14ac:dyDescent="0.15">
      <c r="A295" s="322">
        <v>1349000933</v>
      </c>
      <c r="B295" s="322" t="s">
        <v>481</v>
      </c>
      <c r="E295">
        <v>1349300931</v>
      </c>
      <c r="G295" t="e">
        <f t="shared" si="4"/>
        <v>#N/A</v>
      </c>
    </row>
    <row r="296" spans="1:7" ht="14" x14ac:dyDescent="0.15">
      <c r="A296" s="322">
        <v>1349000934</v>
      </c>
      <c r="B296" s="322" t="s">
        <v>482</v>
      </c>
      <c r="G296">
        <f t="shared" si="4"/>
        <v>1349000934</v>
      </c>
    </row>
    <row r="297" spans="1:7" ht="14" x14ac:dyDescent="0.15">
      <c r="A297" s="322">
        <v>1349000935</v>
      </c>
      <c r="B297" s="322" t="s">
        <v>483</v>
      </c>
      <c r="E297" s="182"/>
      <c r="G297">
        <f t="shared" si="4"/>
        <v>1349000935</v>
      </c>
    </row>
    <row r="298" spans="1:7" ht="14" x14ac:dyDescent="0.15">
      <c r="A298" s="322">
        <v>1349000938</v>
      </c>
      <c r="B298" s="322" t="s">
        <v>484</v>
      </c>
      <c r="E298" s="182">
        <v>1360000410</v>
      </c>
      <c r="G298">
        <f t="shared" si="4"/>
        <v>1349000938</v>
      </c>
    </row>
    <row r="299" spans="1:7" ht="14" x14ac:dyDescent="0.15">
      <c r="A299" s="322">
        <v>1349000941</v>
      </c>
      <c r="B299" s="322" t="s">
        <v>70</v>
      </c>
      <c r="E299" s="182"/>
      <c r="G299">
        <f t="shared" si="4"/>
        <v>1349000941</v>
      </c>
    </row>
    <row r="300" spans="1:7" ht="14" x14ac:dyDescent="0.15">
      <c r="A300" s="322">
        <v>1349000952</v>
      </c>
      <c r="B300" s="322" t="s">
        <v>2087</v>
      </c>
      <c r="E300" s="182"/>
      <c r="G300">
        <f t="shared" si="4"/>
        <v>1349000952</v>
      </c>
    </row>
    <row r="301" spans="1:7" ht="14" x14ac:dyDescent="0.15">
      <c r="A301" s="322">
        <v>1349001931</v>
      </c>
      <c r="B301" s="322" t="s">
        <v>1366</v>
      </c>
      <c r="E301" s="182"/>
      <c r="G301">
        <f t="shared" si="4"/>
        <v>1349001931</v>
      </c>
    </row>
    <row r="302" spans="1:7" ht="14" x14ac:dyDescent="0.15">
      <c r="A302" s="322">
        <v>1349001937</v>
      </c>
      <c r="B302" s="322" t="s">
        <v>486</v>
      </c>
      <c r="E302" s="182"/>
      <c r="G302">
        <f t="shared" si="4"/>
        <v>1349001937</v>
      </c>
    </row>
    <row r="303" spans="1:7" ht="14" x14ac:dyDescent="0.15">
      <c r="A303" s="322">
        <v>1349001939</v>
      </c>
      <c r="B303" s="322" t="s">
        <v>487</v>
      </c>
      <c r="E303">
        <v>1413100211</v>
      </c>
      <c r="G303">
        <f t="shared" si="4"/>
        <v>1349001939</v>
      </c>
    </row>
    <row r="304" spans="1:7" ht="14" x14ac:dyDescent="0.15">
      <c r="A304" s="322">
        <v>1349002420</v>
      </c>
      <c r="B304" s="322" t="s">
        <v>1201</v>
      </c>
      <c r="E304">
        <v>1413100212</v>
      </c>
      <c r="G304">
        <f t="shared" si="4"/>
        <v>1349002420</v>
      </c>
    </row>
    <row r="305" spans="1:7" ht="14" x14ac:dyDescent="0.15">
      <c r="A305" s="322">
        <v>1349002939</v>
      </c>
      <c r="B305" s="322" t="s">
        <v>488</v>
      </c>
      <c r="E305">
        <v>1413100215</v>
      </c>
      <c r="G305">
        <f t="shared" si="4"/>
        <v>1349002939</v>
      </c>
    </row>
    <row r="306" spans="1:7" ht="14" x14ac:dyDescent="0.15">
      <c r="A306" s="322">
        <v>1349300930</v>
      </c>
      <c r="B306" s="322" t="s">
        <v>1439</v>
      </c>
      <c r="E306">
        <v>1413100216</v>
      </c>
      <c r="G306">
        <f t="shared" si="4"/>
        <v>1349300930</v>
      </c>
    </row>
    <row r="307" spans="1:7" ht="14" x14ac:dyDescent="0.15">
      <c r="A307" s="322">
        <v>1349300931</v>
      </c>
      <c r="B307" s="322" t="s">
        <v>1598</v>
      </c>
      <c r="E307">
        <v>1413100217</v>
      </c>
      <c r="G307">
        <f t="shared" si="4"/>
        <v>1349300931</v>
      </c>
    </row>
    <row r="308" spans="1:7" ht="14" x14ac:dyDescent="0.15">
      <c r="A308" s="322">
        <v>1360000410</v>
      </c>
      <c r="B308" s="322" t="s">
        <v>342</v>
      </c>
      <c r="E308">
        <v>1413100221</v>
      </c>
      <c r="G308">
        <f t="shared" si="4"/>
        <v>1360000410</v>
      </c>
    </row>
    <row r="309" spans="1:7" ht="14" x14ac:dyDescent="0.15">
      <c r="A309" s="322">
        <v>1413100211</v>
      </c>
      <c r="B309" s="322" t="s">
        <v>1440</v>
      </c>
      <c r="E309">
        <v>1413200220</v>
      </c>
      <c r="G309">
        <f t="shared" si="4"/>
        <v>1413100211</v>
      </c>
    </row>
    <row r="310" spans="1:7" ht="14" x14ac:dyDescent="0.15">
      <c r="A310" s="322">
        <v>1413100212</v>
      </c>
      <c r="B310" s="322" t="s">
        <v>280</v>
      </c>
      <c r="E310" s="182"/>
      <c r="G310">
        <f t="shared" si="4"/>
        <v>1413100212</v>
      </c>
    </row>
    <row r="311" spans="1:7" ht="14" x14ac:dyDescent="0.15">
      <c r="A311" s="322">
        <v>1413100215</v>
      </c>
      <c r="B311" s="322" t="s">
        <v>1443</v>
      </c>
      <c r="E311">
        <v>1433000215</v>
      </c>
      <c r="G311">
        <f t="shared" si="4"/>
        <v>1413100215</v>
      </c>
    </row>
    <row r="312" spans="1:7" ht="14" x14ac:dyDescent="0.15">
      <c r="A312" s="322">
        <v>1413100216</v>
      </c>
      <c r="B312" s="322" t="s">
        <v>1444</v>
      </c>
      <c r="E312">
        <v>1433000641</v>
      </c>
      <c r="G312">
        <f t="shared" si="4"/>
        <v>1413100216</v>
      </c>
    </row>
    <row r="313" spans="1:7" ht="14" x14ac:dyDescent="0.15">
      <c r="A313" s="322">
        <v>1413100217</v>
      </c>
      <c r="B313" s="322" t="s">
        <v>1445</v>
      </c>
      <c r="E313">
        <v>1433000642</v>
      </c>
      <c r="G313">
        <f t="shared" si="4"/>
        <v>1413100217</v>
      </c>
    </row>
    <row r="314" spans="1:7" ht="14" x14ac:dyDescent="0.15">
      <c r="A314" s="322">
        <v>1413100221</v>
      </c>
      <c r="B314" s="322" t="s">
        <v>343</v>
      </c>
      <c r="E314">
        <v>1433000644</v>
      </c>
      <c r="G314">
        <f t="shared" si="4"/>
        <v>1413100221</v>
      </c>
    </row>
    <row r="315" spans="1:7" ht="14" x14ac:dyDescent="0.15">
      <c r="A315" s="322">
        <v>1413200220</v>
      </c>
      <c r="B315" s="322" t="s">
        <v>1</v>
      </c>
      <c r="E315">
        <v>1437000215</v>
      </c>
      <c r="G315">
        <f t="shared" si="4"/>
        <v>1413200220</v>
      </c>
    </row>
    <row r="316" spans="1:7" ht="14" x14ac:dyDescent="0.15">
      <c r="A316" s="322">
        <v>1433000215</v>
      </c>
      <c r="B316" s="322" t="s">
        <v>344</v>
      </c>
      <c r="E316">
        <v>1437000640</v>
      </c>
      <c r="G316">
        <f t="shared" si="4"/>
        <v>1433000215</v>
      </c>
    </row>
    <row r="317" spans="1:7" ht="14" x14ac:dyDescent="0.15">
      <c r="A317" s="322">
        <v>1433000641</v>
      </c>
      <c r="B317" s="322" t="s">
        <v>345</v>
      </c>
      <c r="E317">
        <v>1437000642</v>
      </c>
      <c r="G317">
        <f t="shared" si="4"/>
        <v>1433000641</v>
      </c>
    </row>
    <row r="318" spans="1:7" ht="14" x14ac:dyDescent="0.15">
      <c r="A318" s="322">
        <v>1433000642</v>
      </c>
      <c r="B318" s="322" t="s">
        <v>346</v>
      </c>
      <c r="E318">
        <v>1439000690</v>
      </c>
      <c r="G318">
        <f t="shared" si="4"/>
        <v>1433000642</v>
      </c>
    </row>
    <row r="319" spans="1:7" ht="14" x14ac:dyDescent="0.15">
      <c r="A319" s="322">
        <v>1433000644</v>
      </c>
      <c r="B319" s="322" t="s">
        <v>347</v>
      </c>
      <c r="E319" s="182"/>
      <c r="G319">
        <f t="shared" si="4"/>
        <v>1433000644</v>
      </c>
    </row>
    <row r="320" spans="1:7" ht="14" x14ac:dyDescent="0.15">
      <c r="A320" s="322">
        <v>1437000215</v>
      </c>
      <c r="B320" s="322" t="s">
        <v>348</v>
      </c>
      <c r="E320">
        <v>1443100220</v>
      </c>
      <c r="G320">
        <f t="shared" si="4"/>
        <v>1437000215</v>
      </c>
    </row>
    <row r="321" spans="1:7" ht="14" x14ac:dyDescent="0.15">
      <c r="A321" s="322">
        <v>1437000640</v>
      </c>
      <c r="B321" s="322" t="s">
        <v>245</v>
      </c>
      <c r="E321">
        <v>1443100290</v>
      </c>
      <c r="G321">
        <f t="shared" si="4"/>
        <v>1437000640</v>
      </c>
    </row>
    <row r="322" spans="1:7" ht="14" x14ac:dyDescent="0.15">
      <c r="A322" s="322">
        <v>1437000642</v>
      </c>
      <c r="B322" s="322" t="s">
        <v>2088</v>
      </c>
      <c r="E322">
        <v>1443100291</v>
      </c>
      <c r="G322">
        <f t="shared" si="4"/>
        <v>1437000642</v>
      </c>
    </row>
    <row r="323" spans="1:7" ht="14" x14ac:dyDescent="0.15">
      <c r="A323" s="322">
        <v>1439000690</v>
      </c>
      <c r="B323" s="322" t="s">
        <v>6</v>
      </c>
      <c r="E323">
        <v>1443100292</v>
      </c>
      <c r="G323">
        <f t="shared" ref="G323:G386" si="5">VLOOKUP(A323,$E$2:$E$1373,1,FALSE)</f>
        <v>1439000690</v>
      </c>
    </row>
    <row r="324" spans="1:7" ht="14" x14ac:dyDescent="0.15">
      <c r="A324" s="322">
        <v>1443100220</v>
      </c>
      <c r="B324" s="322" t="s">
        <v>2089</v>
      </c>
      <c r="E324">
        <v>1443100293</v>
      </c>
      <c r="G324">
        <f t="shared" si="5"/>
        <v>1443100220</v>
      </c>
    </row>
    <row r="325" spans="1:7" ht="14" x14ac:dyDescent="0.15">
      <c r="A325" s="322">
        <v>1443100290</v>
      </c>
      <c r="B325" s="322" t="s">
        <v>2057</v>
      </c>
      <c r="E325">
        <v>1443100295</v>
      </c>
      <c r="G325">
        <f t="shared" si="5"/>
        <v>1443100290</v>
      </c>
    </row>
    <row r="326" spans="1:7" ht="14" x14ac:dyDescent="0.15">
      <c r="A326" s="322">
        <v>1443100291</v>
      </c>
      <c r="B326" s="322" t="s">
        <v>1599</v>
      </c>
      <c r="E326">
        <v>1443100296</v>
      </c>
      <c r="G326">
        <f t="shared" si="5"/>
        <v>1443100291</v>
      </c>
    </row>
    <row r="327" spans="1:7" ht="14" x14ac:dyDescent="0.15">
      <c r="A327" s="322">
        <v>1443100292</v>
      </c>
      <c r="B327" s="322" t="s">
        <v>353</v>
      </c>
      <c r="E327">
        <v>1443100297</v>
      </c>
      <c r="G327">
        <f t="shared" si="5"/>
        <v>1443100292</v>
      </c>
    </row>
    <row r="328" spans="1:7" ht="14" x14ac:dyDescent="0.15">
      <c r="A328" s="322">
        <v>1443100293</v>
      </c>
      <c r="B328" s="322" t="s">
        <v>354</v>
      </c>
      <c r="E328">
        <v>1444000490</v>
      </c>
      <c r="G328">
        <f t="shared" si="5"/>
        <v>1443100293</v>
      </c>
    </row>
    <row r="329" spans="1:7" ht="14" x14ac:dyDescent="0.15">
      <c r="A329" s="322">
        <v>1443100295</v>
      </c>
      <c r="B329" s="322" t="s">
        <v>1162</v>
      </c>
      <c r="E329" s="182"/>
      <c r="G329">
        <f t="shared" si="5"/>
        <v>1443100295</v>
      </c>
    </row>
    <row r="330" spans="1:7" ht="14" x14ac:dyDescent="0.15">
      <c r="A330" s="322">
        <v>1443100296</v>
      </c>
      <c r="B330" s="322" t="s">
        <v>1535</v>
      </c>
      <c r="E330">
        <v>1472000212</v>
      </c>
      <c r="G330">
        <f t="shared" si="5"/>
        <v>1443100296</v>
      </c>
    </row>
    <row r="331" spans="1:7" ht="14" x14ac:dyDescent="0.15">
      <c r="A331" s="322">
        <v>1443100297</v>
      </c>
      <c r="B331" s="322" t="s">
        <v>1534</v>
      </c>
      <c r="E331">
        <v>1472000213</v>
      </c>
      <c r="G331">
        <f t="shared" si="5"/>
        <v>1443100297</v>
      </c>
    </row>
    <row r="332" spans="1:7" ht="14" x14ac:dyDescent="0.15">
      <c r="A332" s="322">
        <v>1444000490</v>
      </c>
      <c r="B332" s="322" t="s">
        <v>356</v>
      </c>
      <c r="E332">
        <v>1472000215</v>
      </c>
      <c r="G332">
        <f t="shared" si="5"/>
        <v>1444000490</v>
      </c>
    </row>
    <row r="333" spans="1:7" ht="14" x14ac:dyDescent="0.15">
      <c r="A333" s="322">
        <v>1472000212</v>
      </c>
      <c r="B333" s="322" t="s">
        <v>357</v>
      </c>
      <c r="E333" s="182"/>
      <c r="G333">
        <f t="shared" si="5"/>
        <v>1472000212</v>
      </c>
    </row>
    <row r="334" spans="1:7" ht="14" x14ac:dyDescent="0.15">
      <c r="A334" s="322">
        <v>1472000213</v>
      </c>
      <c r="B334" s="322" t="s">
        <v>358</v>
      </c>
      <c r="E334" s="182"/>
      <c r="G334">
        <f t="shared" si="5"/>
        <v>1472000213</v>
      </c>
    </row>
    <row r="335" spans="1:7" ht="14" x14ac:dyDescent="0.15">
      <c r="A335" s="322">
        <v>1472000215</v>
      </c>
      <c r="B335" s="322" t="s">
        <v>359</v>
      </c>
      <c r="E335" s="182"/>
      <c r="G335">
        <f t="shared" si="5"/>
        <v>1472000215</v>
      </c>
    </row>
    <row r="336" spans="1:7" ht="14" x14ac:dyDescent="0.15">
      <c r="A336" s="322">
        <v>1570000920</v>
      </c>
      <c r="B336" s="322" t="s">
        <v>71</v>
      </c>
      <c r="E336">
        <v>1570000920</v>
      </c>
      <c r="G336">
        <f t="shared" si="5"/>
        <v>1570000920</v>
      </c>
    </row>
    <row r="337" spans="1:7" ht="14" x14ac:dyDescent="0.15">
      <c r="A337" s="322">
        <v>1594000590</v>
      </c>
      <c r="B337" s="322" t="s">
        <v>1212</v>
      </c>
      <c r="E337" s="182"/>
      <c r="G337">
        <f t="shared" si="5"/>
        <v>1594000590</v>
      </c>
    </row>
    <row r="338" spans="1:7" ht="14" x14ac:dyDescent="0.15">
      <c r="A338" s="322">
        <v>1594000591</v>
      </c>
      <c r="B338" s="322" t="s">
        <v>10</v>
      </c>
      <c r="E338">
        <v>1594000590</v>
      </c>
      <c r="G338" t="e">
        <f t="shared" si="5"/>
        <v>#N/A</v>
      </c>
    </row>
    <row r="339" spans="1:7" ht="14" x14ac:dyDescent="0.15">
      <c r="A339" s="322">
        <v>1594100590</v>
      </c>
      <c r="B339" s="322" t="s">
        <v>1213</v>
      </c>
      <c r="E339">
        <v>1594100590</v>
      </c>
      <c r="G339">
        <f t="shared" si="5"/>
        <v>1594100590</v>
      </c>
    </row>
    <row r="340" spans="1:7" ht="14" x14ac:dyDescent="0.15">
      <c r="A340" s="322">
        <v>1599000980</v>
      </c>
      <c r="B340" s="322" t="s">
        <v>1214</v>
      </c>
      <c r="E340" s="182">
        <v>1599000980</v>
      </c>
      <c r="G340">
        <f t="shared" si="5"/>
        <v>1599000980</v>
      </c>
    </row>
    <row r="341" spans="1:7" ht="14" x14ac:dyDescent="0.15">
      <c r="A341" s="323"/>
      <c r="B341" s="323" t="s">
        <v>2090</v>
      </c>
      <c r="E341" s="182"/>
      <c r="G341" t="e">
        <f t="shared" si="5"/>
        <v>#N/A</v>
      </c>
    </row>
    <row r="342" spans="1:7" ht="14" x14ac:dyDescent="0.15">
      <c r="A342" s="322">
        <v>1610000981</v>
      </c>
      <c r="B342" s="322" t="s">
        <v>73</v>
      </c>
      <c r="E342" s="182"/>
      <c r="G342">
        <f t="shared" si="5"/>
        <v>1610000981</v>
      </c>
    </row>
    <row r="343" spans="1:7" ht="14" x14ac:dyDescent="0.15">
      <c r="A343" s="322">
        <v>1611000110</v>
      </c>
      <c r="B343" s="322" t="s">
        <v>511</v>
      </c>
      <c r="E343" s="182"/>
      <c r="G343">
        <f t="shared" si="5"/>
        <v>1611000110</v>
      </c>
    </row>
    <row r="344" spans="1:7" ht="14" x14ac:dyDescent="0.15">
      <c r="A344" s="322">
        <v>1611000210</v>
      </c>
      <c r="B344" s="322" t="s">
        <v>246</v>
      </c>
      <c r="E344" s="182"/>
      <c r="G344">
        <f t="shared" si="5"/>
        <v>1611000210</v>
      </c>
    </row>
    <row r="345" spans="1:7" ht="14" x14ac:dyDescent="0.15">
      <c r="A345" s="322">
        <v>1611000511</v>
      </c>
      <c r="B345" s="322" t="s">
        <v>544</v>
      </c>
      <c r="E345" s="182"/>
      <c r="G345">
        <f t="shared" si="5"/>
        <v>1611000511</v>
      </c>
    </row>
    <row r="346" spans="1:7" ht="14" x14ac:dyDescent="0.15">
      <c r="A346" s="322">
        <v>1611000512</v>
      </c>
      <c r="B346" s="322" t="s">
        <v>545</v>
      </c>
      <c r="E346">
        <v>1610000981</v>
      </c>
      <c r="G346">
        <f t="shared" si="5"/>
        <v>1611000512</v>
      </c>
    </row>
    <row r="347" spans="1:7" ht="14" x14ac:dyDescent="0.15">
      <c r="A347" s="322">
        <v>1611000514</v>
      </c>
      <c r="B347" s="322" t="s">
        <v>546</v>
      </c>
      <c r="E347">
        <v>1611000110</v>
      </c>
      <c r="G347">
        <f t="shared" si="5"/>
        <v>1611000514</v>
      </c>
    </row>
    <row r="348" spans="1:7" ht="14" x14ac:dyDescent="0.15">
      <c r="A348" s="322">
        <v>1611000521</v>
      </c>
      <c r="B348" s="322" t="s">
        <v>547</v>
      </c>
      <c r="E348">
        <v>1611000210</v>
      </c>
      <c r="G348">
        <f t="shared" si="5"/>
        <v>1611000521</v>
      </c>
    </row>
    <row r="349" spans="1:7" ht="14" x14ac:dyDescent="0.15">
      <c r="A349" s="322">
        <v>1611000522</v>
      </c>
      <c r="B349" s="322" t="s">
        <v>548</v>
      </c>
      <c r="E349">
        <v>1611000511</v>
      </c>
      <c r="G349">
        <f t="shared" si="5"/>
        <v>1611000522</v>
      </c>
    </row>
    <row r="350" spans="1:7" ht="14" x14ac:dyDescent="0.15">
      <c r="A350" s="322">
        <v>1611000523</v>
      </c>
      <c r="B350" s="322" t="s">
        <v>549</v>
      </c>
      <c r="E350">
        <v>1611000512</v>
      </c>
      <c r="G350">
        <f t="shared" si="5"/>
        <v>1611000523</v>
      </c>
    </row>
    <row r="351" spans="1:7" ht="14" x14ac:dyDescent="0.15">
      <c r="A351" s="322">
        <v>1611000530</v>
      </c>
      <c r="B351" s="322" t="s">
        <v>13</v>
      </c>
      <c r="E351">
        <v>1611000514</v>
      </c>
      <c r="G351" t="e">
        <f t="shared" si="5"/>
        <v>#N/A</v>
      </c>
    </row>
    <row r="352" spans="1:7" ht="14" x14ac:dyDescent="0.15">
      <c r="A352" s="322">
        <v>1611000560</v>
      </c>
      <c r="B352" s="322" t="s">
        <v>550</v>
      </c>
      <c r="E352">
        <v>1611000521</v>
      </c>
      <c r="G352">
        <f t="shared" si="5"/>
        <v>1611000560</v>
      </c>
    </row>
    <row r="353" spans="1:7" ht="14" x14ac:dyDescent="0.15">
      <c r="A353" s="322">
        <v>1611000580</v>
      </c>
      <c r="B353" s="322" t="s">
        <v>551</v>
      </c>
      <c r="E353">
        <v>1611000522</v>
      </c>
      <c r="G353">
        <f t="shared" si="5"/>
        <v>1611000580</v>
      </c>
    </row>
    <row r="354" spans="1:7" ht="14" x14ac:dyDescent="0.15">
      <c r="A354" s="322">
        <v>1611000581</v>
      </c>
      <c r="B354" s="322" t="s">
        <v>1741</v>
      </c>
      <c r="E354">
        <v>1611000523</v>
      </c>
      <c r="G354">
        <f t="shared" si="5"/>
        <v>1611000581</v>
      </c>
    </row>
    <row r="355" spans="1:7" ht="14" x14ac:dyDescent="0.15">
      <c r="A355" s="322">
        <v>1611000760</v>
      </c>
      <c r="B355" s="322" t="s">
        <v>552</v>
      </c>
      <c r="E355">
        <v>1611000560</v>
      </c>
      <c r="G355">
        <f t="shared" si="5"/>
        <v>1611000760</v>
      </c>
    </row>
    <row r="356" spans="1:7" ht="14" x14ac:dyDescent="0.15">
      <c r="A356" s="322">
        <v>1611000780</v>
      </c>
      <c r="B356" s="322" t="s">
        <v>553</v>
      </c>
      <c r="E356">
        <v>1611000580</v>
      </c>
      <c r="G356">
        <f t="shared" si="5"/>
        <v>1611000780</v>
      </c>
    </row>
    <row r="357" spans="1:7" ht="14" x14ac:dyDescent="0.15">
      <c r="A357" s="322">
        <v>1611000930</v>
      </c>
      <c r="B357" s="322" t="s">
        <v>554</v>
      </c>
      <c r="E357">
        <v>1611000581</v>
      </c>
      <c r="G357">
        <f t="shared" si="5"/>
        <v>1611000930</v>
      </c>
    </row>
    <row r="358" spans="1:7" ht="14" x14ac:dyDescent="0.15">
      <c r="A358" s="322">
        <v>1611000970</v>
      </c>
      <c r="B358" s="322" t="s">
        <v>555</v>
      </c>
      <c r="E358">
        <v>1611000760</v>
      </c>
      <c r="G358">
        <f t="shared" si="5"/>
        <v>1611000970</v>
      </c>
    </row>
    <row r="359" spans="1:7" ht="14" x14ac:dyDescent="0.15">
      <c r="A359" s="322">
        <v>1611000980</v>
      </c>
      <c r="B359" s="322" t="s">
        <v>556</v>
      </c>
      <c r="E359">
        <v>1611000780</v>
      </c>
      <c r="G359">
        <f t="shared" si="5"/>
        <v>1611000980</v>
      </c>
    </row>
    <row r="360" spans="1:7" ht="14" x14ac:dyDescent="0.15">
      <c r="A360" s="322">
        <v>1611000981</v>
      </c>
      <c r="B360" s="322" t="s">
        <v>1577</v>
      </c>
      <c r="E360">
        <v>1611000930</v>
      </c>
      <c r="G360">
        <f t="shared" si="5"/>
        <v>1611000981</v>
      </c>
    </row>
    <row r="361" spans="1:7" ht="14" x14ac:dyDescent="0.15">
      <c r="A361" s="322">
        <v>1611001530</v>
      </c>
      <c r="B361" s="322" t="s">
        <v>2091</v>
      </c>
      <c r="E361">
        <v>1611000970</v>
      </c>
      <c r="G361">
        <f t="shared" si="5"/>
        <v>1611001530</v>
      </c>
    </row>
    <row r="362" spans="1:7" ht="14" x14ac:dyDescent="0.15">
      <c r="A362" s="322">
        <v>1611001731</v>
      </c>
      <c r="B362" s="322" t="s">
        <v>1533</v>
      </c>
      <c r="E362">
        <v>1611000980</v>
      </c>
      <c r="G362" t="e">
        <f t="shared" si="5"/>
        <v>#N/A</v>
      </c>
    </row>
    <row r="363" spans="1:7" ht="14" x14ac:dyDescent="0.15">
      <c r="A363" s="322">
        <v>1611002731</v>
      </c>
      <c r="B363" s="322" t="s">
        <v>1743</v>
      </c>
      <c r="E363">
        <v>1611000981</v>
      </c>
      <c r="G363">
        <f t="shared" si="5"/>
        <v>1611002731</v>
      </c>
    </row>
    <row r="364" spans="1:7" ht="14" x14ac:dyDescent="0.15">
      <c r="A364" s="322">
        <v>1611100110</v>
      </c>
      <c r="B364" s="322" t="s">
        <v>512</v>
      </c>
      <c r="E364">
        <v>1611001530</v>
      </c>
      <c r="G364">
        <f t="shared" si="5"/>
        <v>1611100110</v>
      </c>
    </row>
    <row r="365" spans="1:7" ht="14" x14ac:dyDescent="0.15">
      <c r="A365" s="322">
        <v>1611100441</v>
      </c>
      <c r="B365" s="322" t="s">
        <v>558</v>
      </c>
      <c r="E365">
        <v>1611002731</v>
      </c>
      <c r="G365">
        <f t="shared" si="5"/>
        <v>1611100441</v>
      </c>
    </row>
    <row r="366" spans="1:7" ht="14" x14ac:dyDescent="0.15">
      <c r="A366" s="322">
        <v>1611100530</v>
      </c>
      <c r="B366" s="322" t="s">
        <v>99</v>
      </c>
      <c r="E366">
        <v>1611100110</v>
      </c>
      <c r="G366">
        <f t="shared" si="5"/>
        <v>1611100530</v>
      </c>
    </row>
    <row r="367" spans="1:7" ht="14" x14ac:dyDescent="0.15">
      <c r="A367" s="322">
        <v>1611120530</v>
      </c>
      <c r="B367" s="322" t="s">
        <v>2092</v>
      </c>
      <c r="E367">
        <v>1611100441</v>
      </c>
      <c r="G367">
        <f t="shared" si="5"/>
        <v>1611120530</v>
      </c>
    </row>
    <row r="368" spans="1:7" ht="14" x14ac:dyDescent="0.15">
      <c r="A368" s="322">
        <v>1612000110</v>
      </c>
      <c r="B368" s="322" t="s">
        <v>513</v>
      </c>
      <c r="E368">
        <v>1611100530</v>
      </c>
      <c r="G368">
        <f t="shared" si="5"/>
        <v>1612000110</v>
      </c>
    </row>
    <row r="369" spans="1:7" ht="14" x14ac:dyDescent="0.15">
      <c r="A369" s="322">
        <v>1612000440</v>
      </c>
      <c r="B369" s="322" t="s">
        <v>561</v>
      </c>
      <c r="E369">
        <v>1611120530</v>
      </c>
      <c r="G369">
        <f t="shared" si="5"/>
        <v>1612000440</v>
      </c>
    </row>
    <row r="370" spans="1:7" ht="14" x14ac:dyDescent="0.15">
      <c r="A370" s="322">
        <v>1612000511</v>
      </c>
      <c r="B370" s="322" t="s">
        <v>19</v>
      </c>
      <c r="E370">
        <v>1612000110</v>
      </c>
      <c r="G370">
        <f t="shared" si="5"/>
        <v>1612000511</v>
      </c>
    </row>
    <row r="371" spans="1:7" ht="14" x14ac:dyDescent="0.15">
      <c r="A371" s="322">
        <v>1612000521</v>
      </c>
      <c r="B371" s="322" t="s">
        <v>562</v>
      </c>
      <c r="E371">
        <v>1612000440</v>
      </c>
      <c r="G371">
        <f t="shared" si="5"/>
        <v>1612000521</v>
      </c>
    </row>
    <row r="372" spans="1:7" ht="14" x14ac:dyDescent="0.15">
      <c r="A372" s="322">
        <v>1612000522</v>
      </c>
      <c r="B372" s="322" t="s">
        <v>563</v>
      </c>
      <c r="E372">
        <v>1612000511</v>
      </c>
      <c r="G372">
        <f t="shared" si="5"/>
        <v>1612000522</v>
      </c>
    </row>
    <row r="373" spans="1:7" ht="14" x14ac:dyDescent="0.15">
      <c r="A373" s="322">
        <v>1612000523</v>
      </c>
      <c r="B373" s="322" t="s">
        <v>564</v>
      </c>
      <c r="E373">
        <v>1612000521</v>
      </c>
      <c r="G373">
        <f t="shared" si="5"/>
        <v>1612000523</v>
      </c>
    </row>
    <row r="374" spans="1:7" ht="14" x14ac:dyDescent="0.15">
      <c r="A374" s="322">
        <v>1612000530</v>
      </c>
      <c r="B374" s="322" t="s">
        <v>2093</v>
      </c>
      <c r="E374">
        <v>1612000522</v>
      </c>
      <c r="G374">
        <f t="shared" si="5"/>
        <v>1612000530</v>
      </c>
    </row>
    <row r="375" spans="1:7" ht="14" x14ac:dyDescent="0.15">
      <c r="A375" s="322">
        <v>1612000560</v>
      </c>
      <c r="B375" s="322" t="s">
        <v>566</v>
      </c>
      <c r="E375">
        <v>1612000523</v>
      </c>
      <c r="G375">
        <f t="shared" si="5"/>
        <v>1612000560</v>
      </c>
    </row>
    <row r="376" spans="1:7" ht="14" x14ac:dyDescent="0.15">
      <c r="A376" s="322">
        <v>1612000581</v>
      </c>
      <c r="B376" s="322" t="s">
        <v>1745</v>
      </c>
      <c r="E376">
        <v>1612000530</v>
      </c>
      <c r="G376">
        <f t="shared" si="5"/>
        <v>1612000581</v>
      </c>
    </row>
    <row r="377" spans="1:7" ht="14" x14ac:dyDescent="0.15">
      <c r="A377" s="322">
        <v>1612000780</v>
      </c>
      <c r="B377" s="322" t="s">
        <v>567</v>
      </c>
      <c r="E377">
        <v>1612000560</v>
      </c>
      <c r="G377">
        <f t="shared" si="5"/>
        <v>1612000780</v>
      </c>
    </row>
    <row r="378" spans="1:7" ht="14" x14ac:dyDescent="0.15">
      <c r="A378" s="322">
        <v>1612000930</v>
      </c>
      <c r="B378" s="322" t="s">
        <v>568</v>
      </c>
      <c r="E378">
        <v>1612000581</v>
      </c>
      <c r="G378">
        <f t="shared" si="5"/>
        <v>1612000930</v>
      </c>
    </row>
    <row r="379" spans="1:7" ht="14" x14ac:dyDescent="0.15">
      <c r="A379" s="322">
        <v>1613000110</v>
      </c>
      <c r="B379" s="322" t="s">
        <v>514</v>
      </c>
      <c r="E379">
        <v>1612000780</v>
      </c>
      <c r="G379">
        <f t="shared" si="5"/>
        <v>1613000110</v>
      </c>
    </row>
    <row r="380" spans="1:7" ht="14" x14ac:dyDescent="0.15">
      <c r="A380" s="322">
        <v>1613000440</v>
      </c>
      <c r="B380" s="322" t="s">
        <v>558</v>
      </c>
      <c r="E380">
        <v>1612000930</v>
      </c>
      <c r="G380">
        <f t="shared" si="5"/>
        <v>1613000440</v>
      </c>
    </row>
    <row r="381" spans="1:7" ht="14" x14ac:dyDescent="0.15">
      <c r="A381" s="322">
        <v>1613000470</v>
      </c>
      <c r="B381" s="322" t="s">
        <v>569</v>
      </c>
      <c r="E381">
        <v>1613000110</v>
      </c>
      <c r="G381" t="e">
        <f t="shared" si="5"/>
        <v>#N/A</v>
      </c>
    </row>
    <row r="382" spans="1:7" ht="14" x14ac:dyDescent="0.15">
      <c r="A382" s="322">
        <v>1613000511</v>
      </c>
      <c r="B382" s="322" t="s">
        <v>1746</v>
      </c>
      <c r="E382">
        <v>1613000440</v>
      </c>
      <c r="G382">
        <f t="shared" si="5"/>
        <v>1613000511</v>
      </c>
    </row>
    <row r="383" spans="1:7" ht="14" x14ac:dyDescent="0.15">
      <c r="A383" s="322">
        <v>1613000512</v>
      </c>
      <c r="B383" s="322" t="s">
        <v>570</v>
      </c>
      <c r="E383">
        <v>1613000511</v>
      </c>
      <c r="G383">
        <f t="shared" si="5"/>
        <v>1613000512</v>
      </c>
    </row>
    <row r="384" spans="1:7" ht="14" x14ac:dyDescent="0.15">
      <c r="A384" s="322">
        <v>1613000520</v>
      </c>
      <c r="B384" s="322" t="s">
        <v>571</v>
      </c>
      <c r="E384">
        <v>1613000512</v>
      </c>
      <c r="G384">
        <f t="shared" si="5"/>
        <v>1613000520</v>
      </c>
    </row>
    <row r="385" spans="1:7" ht="14" x14ac:dyDescent="0.15">
      <c r="A385" s="322">
        <v>1613000521</v>
      </c>
      <c r="B385" s="322" t="s">
        <v>572</v>
      </c>
      <c r="E385">
        <v>1613000520</v>
      </c>
      <c r="G385">
        <f t="shared" si="5"/>
        <v>1613000521</v>
      </c>
    </row>
    <row r="386" spans="1:7" ht="14" x14ac:dyDescent="0.15">
      <c r="A386" s="322">
        <v>1613000522</v>
      </c>
      <c r="B386" s="322" t="s">
        <v>573</v>
      </c>
      <c r="E386">
        <v>1613000521</v>
      </c>
      <c r="G386">
        <f t="shared" si="5"/>
        <v>1613000522</v>
      </c>
    </row>
    <row r="387" spans="1:7" ht="14" x14ac:dyDescent="0.15">
      <c r="A387" s="322">
        <v>1613000523</v>
      </c>
      <c r="B387" s="322" t="s">
        <v>574</v>
      </c>
      <c r="E387">
        <v>1613000522</v>
      </c>
      <c r="G387">
        <f t="shared" ref="G387:G450" si="6">VLOOKUP(A387,$E$2:$E$1373,1,FALSE)</f>
        <v>1613000523</v>
      </c>
    </row>
    <row r="388" spans="1:7" ht="14" x14ac:dyDescent="0.15">
      <c r="A388" s="322">
        <v>1613000530</v>
      </c>
      <c r="B388" s="322" t="s">
        <v>2094</v>
      </c>
      <c r="E388">
        <v>1613000523</v>
      </c>
      <c r="G388">
        <f t="shared" si="6"/>
        <v>1613000530</v>
      </c>
    </row>
    <row r="389" spans="1:7" ht="14" x14ac:dyDescent="0.15">
      <c r="A389" s="322">
        <v>1613000560</v>
      </c>
      <c r="B389" s="322" t="s">
        <v>576</v>
      </c>
      <c r="E389">
        <v>1613000530</v>
      </c>
      <c r="G389">
        <f t="shared" si="6"/>
        <v>1613000560</v>
      </c>
    </row>
    <row r="390" spans="1:7" ht="14" x14ac:dyDescent="0.15">
      <c r="A390" s="322">
        <v>1613000580</v>
      </c>
      <c r="B390" s="322" t="s">
        <v>577</v>
      </c>
      <c r="E390">
        <v>1613000560</v>
      </c>
      <c r="G390">
        <f t="shared" si="6"/>
        <v>1613000580</v>
      </c>
    </row>
    <row r="391" spans="1:7" ht="14" x14ac:dyDescent="0.15">
      <c r="A391" s="322">
        <v>1613000581</v>
      </c>
      <c r="B391" s="322" t="s">
        <v>1749</v>
      </c>
      <c r="E391">
        <v>1613000580</v>
      </c>
      <c r="G391">
        <f t="shared" si="6"/>
        <v>1613000581</v>
      </c>
    </row>
    <row r="392" spans="1:7" ht="14" x14ac:dyDescent="0.15">
      <c r="A392" s="322">
        <v>1613000810</v>
      </c>
      <c r="B392" s="322" t="s">
        <v>578</v>
      </c>
      <c r="E392">
        <v>1613000581</v>
      </c>
      <c r="G392">
        <f t="shared" si="6"/>
        <v>1613000810</v>
      </c>
    </row>
    <row r="393" spans="1:7" ht="14" x14ac:dyDescent="0.15">
      <c r="A393" s="322">
        <v>1613000910</v>
      </c>
      <c r="B393" s="322" t="s">
        <v>741</v>
      </c>
      <c r="E393">
        <v>1613000810</v>
      </c>
      <c r="G393">
        <f t="shared" si="6"/>
        <v>1613000910</v>
      </c>
    </row>
    <row r="394" spans="1:7" ht="14" x14ac:dyDescent="0.15">
      <c r="A394" s="322">
        <v>1613000930</v>
      </c>
      <c r="B394" s="322" t="s">
        <v>579</v>
      </c>
      <c r="E394">
        <v>1613000910</v>
      </c>
      <c r="G394">
        <f t="shared" si="6"/>
        <v>1613000930</v>
      </c>
    </row>
    <row r="395" spans="1:7" ht="14" x14ac:dyDescent="0.15">
      <c r="A395" s="322">
        <v>1613000980</v>
      </c>
      <c r="B395" s="322" t="s">
        <v>580</v>
      </c>
      <c r="E395">
        <v>1613000930</v>
      </c>
      <c r="G395">
        <f t="shared" si="6"/>
        <v>1613000980</v>
      </c>
    </row>
    <row r="396" spans="1:7" ht="14" x14ac:dyDescent="0.15">
      <c r="A396" s="322">
        <v>1613000981</v>
      </c>
      <c r="B396" s="322" t="s">
        <v>1553</v>
      </c>
      <c r="E396">
        <v>1613000980</v>
      </c>
      <c r="G396">
        <f t="shared" si="6"/>
        <v>1613000981</v>
      </c>
    </row>
    <row r="397" spans="1:7" ht="14" x14ac:dyDescent="0.15">
      <c r="A397" s="322">
        <v>1614000110</v>
      </c>
      <c r="B397" s="322" t="s">
        <v>515</v>
      </c>
      <c r="E397">
        <v>1613000981</v>
      </c>
      <c r="G397">
        <f t="shared" si="6"/>
        <v>1614000110</v>
      </c>
    </row>
    <row r="398" spans="1:7" ht="14" x14ac:dyDescent="0.15">
      <c r="A398" s="322">
        <v>1614000470</v>
      </c>
      <c r="B398" s="322" t="s">
        <v>581</v>
      </c>
      <c r="E398">
        <v>1614000110</v>
      </c>
      <c r="G398">
        <f t="shared" si="6"/>
        <v>1614000470</v>
      </c>
    </row>
    <row r="399" spans="1:7" ht="14" x14ac:dyDescent="0.15">
      <c r="A399" s="322">
        <v>1614000511</v>
      </c>
      <c r="B399" s="322" t="s">
        <v>1751</v>
      </c>
      <c r="E399">
        <v>1614000470</v>
      </c>
      <c r="G399">
        <f t="shared" si="6"/>
        <v>1614000511</v>
      </c>
    </row>
    <row r="400" spans="1:7" ht="14" x14ac:dyDescent="0.15">
      <c r="A400" s="322">
        <v>1614000521</v>
      </c>
      <c r="B400" s="322" t="s">
        <v>582</v>
      </c>
      <c r="E400">
        <v>1614000511</v>
      </c>
      <c r="G400">
        <f t="shared" si="6"/>
        <v>1614000521</v>
      </c>
    </row>
    <row r="401" spans="1:7" ht="14" x14ac:dyDescent="0.15">
      <c r="A401" s="322">
        <v>1614000522</v>
      </c>
      <c r="B401" s="322" t="s">
        <v>583</v>
      </c>
      <c r="E401">
        <v>1614000521</v>
      </c>
      <c r="G401">
        <f t="shared" si="6"/>
        <v>1614000522</v>
      </c>
    </row>
    <row r="402" spans="1:7" ht="14" x14ac:dyDescent="0.15">
      <c r="A402" s="322">
        <v>1614000523</v>
      </c>
      <c r="B402" s="322" t="s">
        <v>2095</v>
      </c>
      <c r="E402">
        <v>1614000522</v>
      </c>
      <c r="G402">
        <f t="shared" si="6"/>
        <v>1614000523</v>
      </c>
    </row>
    <row r="403" spans="1:7" ht="14" x14ac:dyDescent="0.15">
      <c r="A403" s="322">
        <v>1614000550</v>
      </c>
      <c r="B403" s="322" t="s">
        <v>584</v>
      </c>
      <c r="E403">
        <v>1614000523</v>
      </c>
      <c r="G403">
        <f t="shared" si="6"/>
        <v>1614000550</v>
      </c>
    </row>
    <row r="404" spans="1:7" ht="14" x14ac:dyDescent="0.15">
      <c r="A404" s="322">
        <v>1614000570</v>
      </c>
      <c r="B404" s="322" t="s">
        <v>243</v>
      </c>
      <c r="E404">
        <v>1614000550</v>
      </c>
      <c r="G404">
        <f t="shared" si="6"/>
        <v>1614000570</v>
      </c>
    </row>
    <row r="405" spans="1:7" ht="14" x14ac:dyDescent="0.15">
      <c r="A405" s="322">
        <v>1614000581</v>
      </c>
      <c r="B405" s="322" t="s">
        <v>1752</v>
      </c>
      <c r="E405">
        <v>1614000570</v>
      </c>
      <c r="G405">
        <f t="shared" si="6"/>
        <v>1614000581</v>
      </c>
    </row>
    <row r="406" spans="1:7" ht="14" x14ac:dyDescent="0.15">
      <c r="A406" s="322">
        <v>1614000930</v>
      </c>
      <c r="B406" s="322" t="s">
        <v>585</v>
      </c>
      <c r="E406">
        <v>1614000581</v>
      </c>
      <c r="G406">
        <f t="shared" si="6"/>
        <v>1614000930</v>
      </c>
    </row>
    <row r="407" spans="1:7" ht="14" x14ac:dyDescent="0.15">
      <c r="A407" s="322">
        <v>1614000981</v>
      </c>
      <c r="B407" s="322" t="s">
        <v>74</v>
      </c>
      <c r="E407">
        <v>1614000930</v>
      </c>
      <c r="G407" t="e">
        <f t="shared" si="6"/>
        <v>#N/A</v>
      </c>
    </row>
    <row r="408" spans="1:7" ht="14" x14ac:dyDescent="0.15">
      <c r="A408" s="322">
        <v>1614001551</v>
      </c>
      <c r="B408" s="322" t="s">
        <v>586</v>
      </c>
      <c r="E408">
        <v>1614001551</v>
      </c>
      <c r="G408">
        <f t="shared" si="6"/>
        <v>1614001551</v>
      </c>
    </row>
    <row r="409" spans="1:7" ht="14" x14ac:dyDescent="0.15">
      <c r="A409" s="322">
        <v>1615000110</v>
      </c>
      <c r="B409" s="322" t="s">
        <v>516</v>
      </c>
      <c r="E409">
        <v>1615000110</v>
      </c>
      <c r="G409">
        <f t="shared" si="6"/>
        <v>1615000110</v>
      </c>
    </row>
    <row r="410" spans="1:7" ht="14" x14ac:dyDescent="0.15">
      <c r="A410" s="322">
        <v>1615000210</v>
      </c>
      <c r="B410" s="322" t="s">
        <v>2096</v>
      </c>
      <c r="E410">
        <v>1615000210</v>
      </c>
      <c r="G410">
        <f t="shared" si="6"/>
        <v>1615000210</v>
      </c>
    </row>
    <row r="411" spans="1:7" ht="14" x14ac:dyDescent="0.15">
      <c r="A411" s="322">
        <v>1615000511</v>
      </c>
      <c r="B411" s="322" t="s">
        <v>1753</v>
      </c>
      <c r="E411">
        <v>1615000511</v>
      </c>
      <c r="G411">
        <f t="shared" si="6"/>
        <v>1615000511</v>
      </c>
    </row>
    <row r="412" spans="1:7" ht="14" x14ac:dyDescent="0.15">
      <c r="A412" s="322">
        <v>1615000521</v>
      </c>
      <c r="B412" s="322" t="s">
        <v>1754</v>
      </c>
      <c r="E412">
        <v>1615000521</v>
      </c>
      <c r="G412">
        <f t="shared" si="6"/>
        <v>1615000521</v>
      </c>
    </row>
    <row r="413" spans="1:7" ht="14" x14ac:dyDescent="0.15">
      <c r="A413" s="322">
        <v>1615000522</v>
      </c>
      <c r="B413" s="322" t="s">
        <v>587</v>
      </c>
      <c r="E413">
        <v>1615000522</v>
      </c>
      <c r="G413">
        <f t="shared" si="6"/>
        <v>1615000522</v>
      </c>
    </row>
    <row r="414" spans="1:7" ht="14" x14ac:dyDescent="0.15">
      <c r="A414" s="322">
        <v>1615000523</v>
      </c>
      <c r="B414" s="322" t="s">
        <v>588</v>
      </c>
      <c r="E414">
        <v>1615000523</v>
      </c>
      <c r="G414">
        <f t="shared" si="6"/>
        <v>1615000523</v>
      </c>
    </row>
    <row r="415" spans="1:7" ht="14" x14ac:dyDescent="0.15">
      <c r="A415" s="322">
        <v>1615000560</v>
      </c>
      <c r="B415" s="322" t="s">
        <v>589</v>
      </c>
      <c r="E415">
        <v>1615000560</v>
      </c>
      <c r="G415">
        <f t="shared" si="6"/>
        <v>1615000560</v>
      </c>
    </row>
    <row r="416" spans="1:7" ht="14" x14ac:dyDescent="0.15">
      <c r="A416" s="322">
        <v>1615000571</v>
      </c>
      <c r="B416" s="322" t="s">
        <v>590</v>
      </c>
      <c r="E416">
        <v>1615000571</v>
      </c>
      <c r="G416">
        <f t="shared" si="6"/>
        <v>1615000571</v>
      </c>
    </row>
    <row r="417" spans="1:7" ht="14" x14ac:dyDescent="0.15">
      <c r="A417" s="322">
        <v>1615000581</v>
      </c>
      <c r="B417" s="322" t="s">
        <v>1673</v>
      </c>
      <c r="E417">
        <v>1615000581</v>
      </c>
      <c r="G417">
        <f t="shared" si="6"/>
        <v>1615000581</v>
      </c>
    </row>
    <row r="418" spans="1:7" ht="14" x14ac:dyDescent="0.15">
      <c r="A418" s="322">
        <v>1615000760</v>
      </c>
      <c r="B418" s="322" t="s">
        <v>552</v>
      </c>
      <c r="E418">
        <v>1615000780</v>
      </c>
      <c r="G418" t="e">
        <f t="shared" si="6"/>
        <v>#N/A</v>
      </c>
    </row>
    <row r="419" spans="1:7" ht="14" x14ac:dyDescent="0.15">
      <c r="A419" s="322">
        <v>1615000780</v>
      </c>
      <c r="B419" s="322" t="s">
        <v>591</v>
      </c>
      <c r="E419">
        <v>1615000930</v>
      </c>
      <c r="G419">
        <f t="shared" si="6"/>
        <v>1615000780</v>
      </c>
    </row>
    <row r="420" spans="1:7" ht="14" x14ac:dyDescent="0.15">
      <c r="A420" s="322">
        <v>1615000930</v>
      </c>
      <c r="B420" s="322" t="s">
        <v>592</v>
      </c>
      <c r="E420">
        <v>1615000981</v>
      </c>
      <c r="G420">
        <f t="shared" si="6"/>
        <v>1615000930</v>
      </c>
    </row>
    <row r="421" spans="1:7" ht="14" x14ac:dyDescent="0.15">
      <c r="A421" s="322">
        <v>1615000981</v>
      </c>
      <c r="B421" s="322" t="s">
        <v>652</v>
      </c>
      <c r="E421">
        <v>1617000110</v>
      </c>
      <c r="G421">
        <f t="shared" si="6"/>
        <v>1615000981</v>
      </c>
    </row>
    <row r="422" spans="1:7" ht="14" x14ac:dyDescent="0.15">
      <c r="A422" s="322">
        <v>1617000110</v>
      </c>
      <c r="B422" s="322" t="s">
        <v>517</v>
      </c>
      <c r="E422">
        <v>1617000440</v>
      </c>
      <c r="G422">
        <f t="shared" si="6"/>
        <v>1617000110</v>
      </c>
    </row>
    <row r="423" spans="1:7" ht="14" x14ac:dyDescent="0.15">
      <c r="A423" s="322">
        <v>1617000210</v>
      </c>
      <c r="B423" s="322" t="s">
        <v>247</v>
      </c>
      <c r="E423">
        <v>1617000441</v>
      </c>
      <c r="G423" t="e">
        <f t="shared" si="6"/>
        <v>#N/A</v>
      </c>
    </row>
    <row r="424" spans="1:7" ht="14" x14ac:dyDescent="0.15">
      <c r="A424" s="322">
        <v>1617000440</v>
      </c>
      <c r="B424" s="322" t="s">
        <v>593</v>
      </c>
      <c r="E424">
        <v>1617000442</v>
      </c>
      <c r="G424">
        <f t="shared" si="6"/>
        <v>1617000440</v>
      </c>
    </row>
    <row r="425" spans="1:7" ht="14" x14ac:dyDescent="0.15">
      <c r="A425" s="322">
        <v>1617000441</v>
      </c>
      <c r="B425" s="322" t="s">
        <v>594</v>
      </c>
      <c r="E425">
        <v>1617000500</v>
      </c>
      <c r="G425">
        <f t="shared" si="6"/>
        <v>1617000441</v>
      </c>
    </row>
    <row r="426" spans="1:7" ht="14" x14ac:dyDescent="0.15">
      <c r="A426" s="322">
        <v>1617000442</v>
      </c>
      <c r="B426" s="322" t="s">
        <v>595</v>
      </c>
      <c r="E426">
        <v>1617000511</v>
      </c>
      <c r="G426">
        <f t="shared" si="6"/>
        <v>1617000442</v>
      </c>
    </row>
    <row r="427" spans="1:7" ht="14" x14ac:dyDescent="0.15">
      <c r="A427" s="322">
        <v>1617000500</v>
      </c>
      <c r="B427" s="322" t="s">
        <v>596</v>
      </c>
      <c r="E427">
        <v>1617000512</v>
      </c>
      <c r="G427">
        <f t="shared" si="6"/>
        <v>1617000500</v>
      </c>
    </row>
    <row r="428" spans="1:7" ht="14" x14ac:dyDescent="0.15">
      <c r="A428" s="322">
        <v>1617000511</v>
      </c>
      <c r="B428" s="322" t="s">
        <v>597</v>
      </c>
      <c r="E428">
        <v>1617000521</v>
      </c>
      <c r="G428">
        <f t="shared" si="6"/>
        <v>1617000511</v>
      </c>
    </row>
    <row r="429" spans="1:7" ht="14" x14ac:dyDescent="0.15">
      <c r="A429" s="322">
        <v>1617000512</v>
      </c>
      <c r="B429" s="322" t="s">
        <v>598</v>
      </c>
      <c r="E429">
        <v>1617000522</v>
      </c>
      <c r="G429">
        <f t="shared" si="6"/>
        <v>1617000512</v>
      </c>
    </row>
    <row r="430" spans="1:7" ht="14" x14ac:dyDescent="0.15">
      <c r="A430" s="322">
        <v>1617000521</v>
      </c>
      <c r="B430" s="322" t="s">
        <v>599</v>
      </c>
      <c r="E430">
        <v>1617000523</v>
      </c>
      <c r="G430">
        <f t="shared" si="6"/>
        <v>1617000521</v>
      </c>
    </row>
    <row r="431" spans="1:7" ht="14" x14ac:dyDescent="0.15">
      <c r="A431" s="322">
        <v>1617000522</v>
      </c>
      <c r="B431" s="322" t="s">
        <v>600</v>
      </c>
      <c r="E431">
        <v>1617000530</v>
      </c>
      <c r="G431">
        <f t="shared" si="6"/>
        <v>1617000522</v>
      </c>
    </row>
    <row r="432" spans="1:7" ht="14" x14ac:dyDescent="0.15">
      <c r="A432" s="322">
        <v>1617000523</v>
      </c>
      <c r="B432" s="322" t="s">
        <v>601</v>
      </c>
      <c r="E432">
        <v>1617000540</v>
      </c>
      <c r="G432">
        <f t="shared" si="6"/>
        <v>1617000523</v>
      </c>
    </row>
    <row r="433" spans="1:7" ht="14" x14ac:dyDescent="0.15">
      <c r="A433" s="322">
        <v>1617000530</v>
      </c>
      <c r="B433" s="322" t="s">
        <v>2097</v>
      </c>
      <c r="E433">
        <v>1617000560</v>
      </c>
      <c r="G433">
        <f t="shared" si="6"/>
        <v>1617000530</v>
      </c>
    </row>
    <row r="434" spans="1:7" ht="14" x14ac:dyDescent="0.15">
      <c r="A434" s="322">
        <v>1617000540</v>
      </c>
      <c r="B434" s="322" t="s">
        <v>603</v>
      </c>
      <c r="E434">
        <v>1617000561</v>
      </c>
      <c r="G434">
        <f t="shared" si="6"/>
        <v>1617000540</v>
      </c>
    </row>
    <row r="435" spans="1:7" ht="14" x14ac:dyDescent="0.15">
      <c r="A435" s="322">
        <v>1617000560</v>
      </c>
      <c r="B435" s="322" t="s">
        <v>604</v>
      </c>
      <c r="E435">
        <v>1617000570</v>
      </c>
      <c r="G435">
        <f t="shared" si="6"/>
        <v>1617000560</v>
      </c>
    </row>
    <row r="436" spans="1:7" ht="14" x14ac:dyDescent="0.15">
      <c r="A436" s="322">
        <v>1617000561</v>
      </c>
      <c r="B436" s="322" t="s">
        <v>1931</v>
      </c>
      <c r="E436">
        <v>1617000581</v>
      </c>
      <c r="G436">
        <f t="shared" si="6"/>
        <v>1617000561</v>
      </c>
    </row>
    <row r="437" spans="1:7" ht="14" x14ac:dyDescent="0.15">
      <c r="A437" s="322">
        <v>1617000570</v>
      </c>
      <c r="B437" s="322" t="s">
        <v>605</v>
      </c>
      <c r="E437">
        <v>1617000750</v>
      </c>
      <c r="G437">
        <f t="shared" si="6"/>
        <v>1617000570</v>
      </c>
    </row>
    <row r="438" spans="1:7" ht="14" x14ac:dyDescent="0.15">
      <c r="A438" s="322">
        <v>1617000580</v>
      </c>
      <c r="B438" s="322" t="s">
        <v>1218</v>
      </c>
      <c r="E438">
        <v>1617000760</v>
      </c>
      <c r="G438" t="e">
        <f t="shared" si="6"/>
        <v>#N/A</v>
      </c>
    </row>
    <row r="439" spans="1:7" ht="14" x14ac:dyDescent="0.15">
      <c r="A439" s="322">
        <v>1617000581</v>
      </c>
      <c r="B439" s="322" t="s">
        <v>606</v>
      </c>
      <c r="E439">
        <v>1617000930</v>
      </c>
      <c r="G439">
        <f t="shared" si="6"/>
        <v>1617000581</v>
      </c>
    </row>
    <row r="440" spans="1:7" ht="14" x14ac:dyDescent="0.15">
      <c r="A440" s="322">
        <v>1617000750</v>
      </c>
      <c r="B440" s="322" t="s">
        <v>607</v>
      </c>
      <c r="E440">
        <v>1617000980</v>
      </c>
      <c r="G440">
        <f t="shared" si="6"/>
        <v>1617000750</v>
      </c>
    </row>
    <row r="441" spans="1:7" ht="14" x14ac:dyDescent="0.15">
      <c r="A441" s="322">
        <v>1617000760</v>
      </c>
      <c r="B441" s="322" t="s">
        <v>552</v>
      </c>
      <c r="E441">
        <v>1619000110</v>
      </c>
      <c r="G441">
        <f t="shared" si="6"/>
        <v>1617000760</v>
      </c>
    </row>
    <row r="442" spans="1:7" ht="14" x14ac:dyDescent="0.15">
      <c r="A442" s="322">
        <v>1617000930</v>
      </c>
      <c r="B442" s="322" t="s">
        <v>608</v>
      </c>
      <c r="E442">
        <v>1619000780</v>
      </c>
      <c r="G442">
        <f t="shared" si="6"/>
        <v>1617000930</v>
      </c>
    </row>
    <row r="443" spans="1:7" ht="14" x14ac:dyDescent="0.15">
      <c r="A443" s="322">
        <v>1617000980</v>
      </c>
      <c r="B443" s="322" t="s">
        <v>609</v>
      </c>
      <c r="E443" s="182"/>
      <c r="G443">
        <f t="shared" si="6"/>
        <v>1617000980</v>
      </c>
    </row>
    <row r="444" spans="1:7" ht="14" x14ac:dyDescent="0.15">
      <c r="A444" s="322">
        <v>1617000981</v>
      </c>
      <c r="B444" s="322" t="s">
        <v>74</v>
      </c>
      <c r="E444" s="182"/>
      <c r="G444" t="e">
        <f t="shared" si="6"/>
        <v>#N/A</v>
      </c>
    </row>
    <row r="445" spans="1:7" ht="14" x14ac:dyDescent="0.15">
      <c r="A445" s="322">
        <v>1619000110</v>
      </c>
      <c r="B445" s="322" t="s">
        <v>23</v>
      </c>
      <c r="E445">
        <v>1621100110</v>
      </c>
      <c r="G445">
        <f t="shared" si="6"/>
        <v>1619000110</v>
      </c>
    </row>
    <row r="446" spans="1:7" ht="14" x14ac:dyDescent="0.15">
      <c r="A446" s="322">
        <v>1619000780</v>
      </c>
      <c r="B446" s="322" t="s">
        <v>1153</v>
      </c>
      <c r="E446">
        <v>1621100440</v>
      </c>
      <c r="G446">
        <f t="shared" si="6"/>
        <v>1619000780</v>
      </c>
    </row>
    <row r="447" spans="1:7" ht="14" x14ac:dyDescent="0.15">
      <c r="A447" s="322">
        <v>1620000981</v>
      </c>
      <c r="B447" s="322" t="s">
        <v>73</v>
      </c>
      <c r="E447">
        <v>1621100470</v>
      </c>
      <c r="G447" t="e">
        <f t="shared" si="6"/>
        <v>#N/A</v>
      </c>
    </row>
    <row r="448" spans="1:7" ht="14" x14ac:dyDescent="0.15">
      <c r="A448" s="322">
        <v>1621000731</v>
      </c>
      <c r="B448" s="322" t="s">
        <v>1530</v>
      </c>
      <c r="E448">
        <v>1621100511</v>
      </c>
      <c r="G448" t="e">
        <f t="shared" si="6"/>
        <v>#N/A</v>
      </c>
    </row>
    <row r="449" spans="1:7" ht="14" x14ac:dyDescent="0.15">
      <c r="A449" s="322">
        <v>1621100110</v>
      </c>
      <c r="B449" s="322" t="s">
        <v>518</v>
      </c>
      <c r="E449">
        <v>1621100512</v>
      </c>
      <c r="G449">
        <f t="shared" si="6"/>
        <v>1621100110</v>
      </c>
    </row>
    <row r="450" spans="1:7" ht="14" x14ac:dyDescent="0.15">
      <c r="A450" s="322">
        <v>1621100440</v>
      </c>
      <c r="B450" s="322" t="s">
        <v>610</v>
      </c>
      <c r="E450">
        <v>1621100521</v>
      </c>
      <c r="G450">
        <f t="shared" si="6"/>
        <v>1621100440</v>
      </c>
    </row>
    <row r="451" spans="1:7" ht="14" x14ac:dyDescent="0.15">
      <c r="A451" s="322">
        <v>1621100470</v>
      </c>
      <c r="B451" s="322" t="s">
        <v>611</v>
      </c>
      <c r="E451">
        <v>1621100522</v>
      </c>
      <c r="G451">
        <f t="shared" ref="G451:G514" si="7">VLOOKUP(A451,$E$2:$E$1373,1,FALSE)</f>
        <v>1621100470</v>
      </c>
    </row>
    <row r="452" spans="1:7" ht="14" x14ac:dyDescent="0.15">
      <c r="A452" s="322">
        <v>1621100511</v>
      </c>
      <c r="B452" s="322" t="s">
        <v>612</v>
      </c>
      <c r="E452">
        <v>1621100523</v>
      </c>
      <c r="G452">
        <f t="shared" si="7"/>
        <v>1621100511</v>
      </c>
    </row>
    <row r="453" spans="1:7" ht="14" x14ac:dyDescent="0.15">
      <c r="A453" s="322">
        <v>1621100512</v>
      </c>
      <c r="B453" s="322" t="s">
        <v>613</v>
      </c>
      <c r="E453">
        <v>1621100530</v>
      </c>
      <c r="G453">
        <f t="shared" si="7"/>
        <v>1621100512</v>
      </c>
    </row>
    <row r="454" spans="1:7" ht="14" x14ac:dyDescent="0.15">
      <c r="A454" s="322">
        <v>1621100521</v>
      </c>
      <c r="B454" s="322" t="s">
        <v>614</v>
      </c>
      <c r="E454">
        <v>1621100560</v>
      </c>
      <c r="G454">
        <f t="shared" si="7"/>
        <v>1621100521</v>
      </c>
    </row>
    <row r="455" spans="1:7" ht="14" x14ac:dyDescent="0.15">
      <c r="A455" s="322">
        <v>1621100522</v>
      </c>
      <c r="B455" s="322" t="s">
        <v>615</v>
      </c>
      <c r="E455">
        <v>1621100580</v>
      </c>
      <c r="G455">
        <f t="shared" si="7"/>
        <v>1621100522</v>
      </c>
    </row>
    <row r="456" spans="1:7" ht="14" x14ac:dyDescent="0.15">
      <c r="A456" s="322">
        <v>1621100523</v>
      </c>
      <c r="B456" s="322" t="s">
        <v>616</v>
      </c>
      <c r="E456">
        <v>1621100581</v>
      </c>
      <c r="G456">
        <f t="shared" si="7"/>
        <v>1621100523</v>
      </c>
    </row>
    <row r="457" spans="1:7" ht="14" x14ac:dyDescent="0.15">
      <c r="A457" s="322">
        <v>1621100530</v>
      </c>
      <c r="B457" s="322" t="s">
        <v>2098</v>
      </c>
      <c r="E457">
        <v>1621100760</v>
      </c>
      <c r="G457">
        <f t="shared" si="7"/>
        <v>1621100530</v>
      </c>
    </row>
    <row r="458" spans="1:7" ht="14" x14ac:dyDescent="0.15">
      <c r="A458" s="322">
        <v>1621100560</v>
      </c>
      <c r="B458" s="322" t="s">
        <v>618</v>
      </c>
      <c r="E458">
        <v>1621100930</v>
      </c>
      <c r="G458">
        <f t="shared" si="7"/>
        <v>1621100560</v>
      </c>
    </row>
    <row r="459" spans="1:7" ht="14" x14ac:dyDescent="0.15">
      <c r="A459" s="322">
        <v>1621100580</v>
      </c>
      <c r="B459" s="322" t="s">
        <v>1220</v>
      </c>
      <c r="E459">
        <v>1621100980</v>
      </c>
      <c r="G459">
        <f t="shared" si="7"/>
        <v>1621100580</v>
      </c>
    </row>
    <row r="460" spans="1:7" ht="14" x14ac:dyDescent="0.15">
      <c r="A460" s="322">
        <v>1621100581</v>
      </c>
      <c r="B460" s="322" t="s">
        <v>1771</v>
      </c>
      <c r="E460">
        <v>1621300560</v>
      </c>
      <c r="G460">
        <f t="shared" si="7"/>
        <v>1621100581</v>
      </c>
    </row>
    <row r="461" spans="1:7" ht="14" x14ac:dyDescent="0.15">
      <c r="A461" s="322">
        <v>1621100760</v>
      </c>
      <c r="B461" s="322" t="s">
        <v>552</v>
      </c>
      <c r="E461">
        <v>1621300570</v>
      </c>
      <c r="G461">
        <f t="shared" si="7"/>
        <v>1621100760</v>
      </c>
    </row>
    <row r="462" spans="1:7" ht="14" x14ac:dyDescent="0.15">
      <c r="A462" s="322">
        <v>1621100910</v>
      </c>
      <c r="B462" s="322" t="s">
        <v>1529</v>
      </c>
      <c r="E462">
        <v>1621300571</v>
      </c>
      <c r="G462" t="e">
        <f t="shared" si="7"/>
        <v>#N/A</v>
      </c>
    </row>
    <row r="463" spans="1:7" ht="14" x14ac:dyDescent="0.15">
      <c r="A463" s="322">
        <v>1621100930</v>
      </c>
      <c r="B463" s="322" t="s">
        <v>620</v>
      </c>
      <c r="E463">
        <v>1621300581</v>
      </c>
      <c r="G463">
        <f t="shared" si="7"/>
        <v>1621100930</v>
      </c>
    </row>
    <row r="464" spans="1:7" ht="14" x14ac:dyDescent="0.15">
      <c r="A464" s="322">
        <v>1621100980</v>
      </c>
      <c r="B464" s="322" t="s">
        <v>621</v>
      </c>
      <c r="E464">
        <v>1621300750</v>
      </c>
      <c r="G464">
        <f t="shared" si="7"/>
        <v>1621100980</v>
      </c>
    </row>
    <row r="465" spans="1:7" ht="14" x14ac:dyDescent="0.15">
      <c r="A465" s="322">
        <v>1621300560</v>
      </c>
      <c r="B465" s="322" t="s">
        <v>623</v>
      </c>
      <c r="E465">
        <v>1621300780</v>
      </c>
      <c r="G465">
        <f t="shared" si="7"/>
        <v>1621300560</v>
      </c>
    </row>
    <row r="466" spans="1:7" ht="14" x14ac:dyDescent="0.15">
      <c r="A466" s="322">
        <v>1621300570</v>
      </c>
      <c r="B466" s="322" t="s">
        <v>624</v>
      </c>
      <c r="E466">
        <v>1621300930</v>
      </c>
      <c r="G466">
        <f t="shared" si="7"/>
        <v>1621300570</v>
      </c>
    </row>
    <row r="467" spans="1:7" ht="14" x14ac:dyDescent="0.15">
      <c r="A467" s="322">
        <v>1621300571</v>
      </c>
      <c r="B467" s="322" t="s">
        <v>2099</v>
      </c>
      <c r="E467">
        <v>1621500110</v>
      </c>
      <c r="G467">
        <f t="shared" si="7"/>
        <v>1621300571</v>
      </c>
    </row>
    <row r="468" spans="1:7" ht="14" x14ac:dyDescent="0.15">
      <c r="A468" s="322">
        <v>1621300581</v>
      </c>
      <c r="B468" s="322" t="s">
        <v>1932</v>
      </c>
      <c r="E468">
        <v>1621500511</v>
      </c>
      <c r="G468">
        <f t="shared" si="7"/>
        <v>1621300581</v>
      </c>
    </row>
    <row r="469" spans="1:7" ht="14" x14ac:dyDescent="0.15">
      <c r="A469" s="322">
        <v>1621300750</v>
      </c>
      <c r="B469" s="322" t="s">
        <v>625</v>
      </c>
      <c r="E469">
        <v>1621500521</v>
      </c>
      <c r="G469">
        <f t="shared" si="7"/>
        <v>1621300750</v>
      </c>
    </row>
    <row r="470" spans="1:7" ht="14" x14ac:dyDescent="0.15">
      <c r="A470" s="322">
        <v>1621300780</v>
      </c>
      <c r="B470" s="322" t="s">
        <v>626</v>
      </c>
      <c r="E470">
        <v>1621500523</v>
      </c>
      <c r="G470">
        <f t="shared" si="7"/>
        <v>1621300780</v>
      </c>
    </row>
    <row r="471" spans="1:7" ht="14" x14ac:dyDescent="0.15">
      <c r="A471" s="322">
        <v>1621300930</v>
      </c>
      <c r="B471" s="322" t="s">
        <v>627</v>
      </c>
      <c r="E471">
        <v>1621500560</v>
      </c>
      <c r="G471">
        <f t="shared" si="7"/>
        <v>1621300930</v>
      </c>
    </row>
    <row r="472" spans="1:7" ht="14" x14ac:dyDescent="0.15">
      <c r="A472" s="322">
        <v>1621500110</v>
      </c>
      <c r="B472" s="322" t="s">
        <v>519</v>
      </c>
      <c r="E472">
        <v>1621500570</v>
      </c>
      <c r="G472">
        <f t="shared" si="7"/>
        <v>1621500110</v>
      </c>
    </row>
    <row r="473" spans="1:7" ht="14" x14ac:dyDescent="0.15">
      <c r="A473" s="322">
        <v>1621500511</v>
      </c>
      <c r="B473" s="322" t="s">
        <v>29</v>
      </c>
      <c r="E473">
        <v>1621500581</v>
      </c>
      <c r="G473">
        <f t="shared" si="7"/>
        <v>1621500511</v>
      </c>
    </row>
    <row r="474" spans="1:7" ht="14" x14ac:dyDescent="0.15">
      <c r="A474" s="322">
        <v>1621500521</v>
      </c>
      <c r="B474" s="322" t="s">
        <v>628</v>
      </c>
      <c r="E474">
        <v>1621500780</v>
      </c>
      <c r="G474">
        <f t="shared" si="7"/>
        <v>1621500521</v>
      </c>
    </row>
    <row r="475" spans="1:7" ht="14" x14ac:dyDescent="0.15">
      <c r="A475" s="322">
        <v>1621500523</v>
      </c>
      <c r="B475" s="322" t="s">
        <v>2100</v>
      </c>
      <c r="E475">
        <v>1621500930</v>
      </c>
      <c r="G475">
        <f t="shared" si="7"/>
        <v>1621500523</v>
      </c>
    </row>
    <row r="476" spans="1:7" ht="14" x14ac:dyDescent="0.15">
      <c r="A476" s="322">
        <v>1621500560</v>
      </c>
      <c r="B476" s="322" t="s">
        <v>630</v>
      </c>
      <c r="E476">
        <v>1623000110</v>
      </c>
      <c r="G476">
        <f t="shared" si="7"/>
        <v>1621500560</v>
      </c>
    </row>
    <row r="477" spans="1:7" ht="14" x14ac:dyDescent="0.15">
      <c r="A477" s="322">
        <v>1621500570</v>
      </c>
      <c r="B477" s="322" t="s">
        <v>631</v>
      </c>
      <c r="E477">
        <v>1623000440</v>
      </c>
      <c r="G477">
        <f t="shared" si="7"/>
        <v>1621500570</v>
      </c>
    </row>
    <row r="478" spans="1:7" ht="14" x14ac:dyDescent="0.15">
      <c r="A478" s="322">
        <v>1621500581</v>
      </c>
      <c r="B478" s="322" t="s">
        <v>1778</v>
      </c>
      <c r="E478">
        <v>1623000511</v>
      </c>
      <c r="G478">
        <f t="shared" si="7"/>
        <v>1621500581</v>
      </c>
    </row>
    <row r="479" spans="1:7" ht="14" x14ac:dyDescent="0.15">
      <c r="A479" s="322">
        <v>1621500780</v>
      </c>
      <c r="B479" s="322" t="s">
        <v>632</v>
      </c>
      <c r="E479">
        <v>1623000521</v>
      </c>
      <c r="G479">
        <f t="shared" si="7"/>
        <v>1621500780</v>
      </c>
    </row>
    <row r="480" spans="1:7" ht="14" x14ac:dyDescent="0.15">
      <c r="A480" s="322">
        <v>1621500930</v>
      </c>
      <c r="B480" s="322" t="s">
        <v>633</v>
      </c>
      <c r="E480">
        <v>1623000530</v>
      </c>
      <c r="G480">
        <f t="shared" si="7"/>
        <v>1621500930</v>
      </c>
    </row>
    <row r="481" spans="1:7" ht="14" x14ac:dyDescent="0.15">
      <c r="A481" s="322">
        <v>1621500981</v>
      </c>
      <c r="B481" s="322" t="s">
        <v>74</v>
      </c>
      <c r="E481">
        <v>1623000560</v>
      </c>
      <c r="G481" t="e">
        <f t="shared" si="7"/>
        <v>#N/A</v>
      </c>
    </row>
    <row r="482" spans="1:7" ht="14" x14ac:dyDescent="0.15">
      <c r="A482" s="322">
        <v>1623000110</v>
      </c>
      <c r="B482" s="322" t="s">
        <v>520</v>
      </c>
      <c r="E482">
        <v>1623000561</v>
      </c>
      <c r="G482">
        <f t="shared" si="7"/>
        <v>1623000110</v>
      </c>
    </row>
    <row r="483" spans="1:7" ht="14" x14ac:dyDescent="0.15">
      <c r="A483" s="322">
        <v>1623000210</v>
      </c>
      <c r="B483" s="322" t="s">
        <v>1528</v>
      </c>
      <c r="E483">
        <v>1623000570</v>
      </c>
      <c r="G483" t="e">
        <f t="shared" si="7"/>
        <v>#N/A</v>
      </c>
    </row>
    <row r="484" spans="1:7" ht="14" x14ac:dyDescent="0.15">
      <c r="A484" s="322">
        <v>1623000440</v>
      </c>
      <c r="B484" s="322" t="s">
        <v>634</v>
      </c>
      <c r="E484">
        <v>1623000580</v>
      </c>
      <c r="G484">
        <f t="shared" si="7"/>
        <v>1623000440</v>
      </c>
    </row>
    <row r="485" spans="1:7" ht="14" x14ac:dyDescent="0.15">
      <c r="A485" s="322">
        <v>1623000511</v>
      </c>
      <c r="B485" s="322" t="s">
        <v>1779</v>
      </c>
      <c r="E485">
        <v>1623000720</v>
      </c>
      <c r="G485">
        <f t="shared" si="7"/>
        <v>1623000511</v>
      </c>
    </row>
    <row r="486" spans="1:7" ht="14" x14ac:dyDescent="0.15">
      <c r="A486" s="322">
        <v>1623000521</v>
      </c>
      <c r="B486" s="322" t="s">
        <v>635</v>
      </c>
      <c r="E486">
        <v>1623000750</v>
      </c>
      <c r="G486">
        <f t="shared" si="7"/>
        <v>1623000521</v>
      </c>
    </row>
    <row r="487" spans="1:7" ht="14" x14ac:dyDescent="0.15">
      <c r="A487" s="322">
        <v>1623000530</v>
      </c>
      <c r="B487" s="322" t="s">
        <v>636</v>
      </c>
      <c r="E487">
        <v>1623000751</v>
      </c>
      <c r="G487">
        <f t="shared" si="7"/>
        <v>1623000530</v>
      </c>
    </row>
    <row r="488" spans="1:7" ht="14" x14ac:dyDescent="0.15">
      <c r="A488" s="322">
        <v>1623000560</v>
      </c>
      <c r="B488" s="322" t="s">
        <v>637</v>
      </c>
      <c r="E488">
        <v>1623000753</v>
      </c>
      <c r="G488">
        <f t="shared" si="7"/>
        <v>1623000560</v>
      </c>
    </row>
    <row r="489" spans="1:7" ht="14" x14ac:dyDescent="0.15">
      <c r="A489" s="322">
        <v>1623000561</v>
      </c>
      <c r="B489" s="322" t="s">
        <v>31</v>
      </c>
      <c r="E489">
        <v>1623000780</v>
      </c>
      <c r="G489">
        <f t="shared" si="7"/>
        <v>1623000561</v>
      </c>
    </row>
    <row r="490" spans="1:7" ht="14" x14ac:dyDescent="0.15">
      <c r="A490" s="322">
        <v>1623000570</v>
      </c>
      <c r="B490" s="322" t="s">
        <v>638</v>
      </c>
      <c r="E490">
        <v>1623000930</v>
      </c>
      <c r="G490">
        <f t="shared" si="7"/>
        <v>1623000570</v>
      </c>
    </row>
    <row r="491" spans="1:7" ht="14" x14ac:dyDescent="0.15">
      <c r="A491" s="322">
        <v>1623000580</v>
      </c>
      <c r="B491" s="322" t="s">
        <v>639</v>
      </c>
      <c r="E491">
        <v>1623000980</v>
      </c>
      <c r="G491">
        <f t="shared" si="7"/>
        <v>1623000580</v>
      </c>
    </row>
    <row r="492" spans="1:7" ht="14" x14ac:dyDescent="0.15">
      <c r="A492" s="322">
        <v>1623000720</v>
      </c>
      <c r="B492" s="322" t="s">
        <v>1780</v>
      </c>
      <c r="E492">
        <v>1623100530</v>
      </c>
      <c r="G492">
        <f t="shared" si="7"/>
        <v>1623000720</v>
      </c>
    </row>
    <row r="493" spans="1:7" ht="14" x14ac:dyDescent="0.15">
      <c r="A493" s="322">
        <v>1623000731</v>
      </c>
      <c r="B493" s="322" t="s">
        <v>103</v>
      </c>
      <c r="E493">
        <v>1623100731</v>
      </c>
      <c r="G493" t="e">
        <f t="shared" si="7"/>
        <v>#N/A</v>
      </c>
    </row>
    <row r="494" spans="1:7" ht="14" x14ac:dyDescent="0.15">
      <c r="A494" s="322">
        <v>1623000750</v>
      </c>
      <c r="B494" s="322" t="s">
        <v>640</v>
      </c>
      <c r="E494">
        <v>1624000110</v>
      </c>
      <c r="G494">
        <f t="shared" si="7"/>
        <v>1623000750</v>
      </c>
    </row>
    <row r="495" spans="1:7" ht="14" x14ac:dyDescent="0.15">
      <c r="A495" s="322">
        <v>1623000751</v>
      </c>
      <c r="B495" s="322" t="s">
        <v>641</v>
      </c>
      <c r="E495">
        <v>1624000511</v>
      </c>
      <c r="G495">
        <f t="shared" si="7"/>
        <v>1623000751</v>
      </c>
    </row>
    <row r="496" spans="1:7" ht="14" x14ac:dyDescent="0.15">
      <c r="A496" s="322">
        <v>1623000753</v>
      </c>
      <c r="B496" s="322" t="s">
        <v>32</v>
      </c>
      <c r="E496">
        <v>1624000560</v>
      </c>
      <c r="G496">
        <f t="shared" si="7"/>
        <v>1623000753</v>
      </c>
    </row>
    <row r="497" spans="1:7" ht="14" x14ac:dyDescent="0.15">
      <c r="A497" s="322">
        <v>1623000780</v>
      </c>
      <c r="B497" s="322" t="s">
        <v>642</v>
      </c>
      <c r="E497">
        <v>1624000780</v>
      </c>
      <c r="G497">
        <f t="shared" si="7"/>
        <v>1623000780</v>
      </c>
    </row>
    <row r="498" spans="1:7" ht="14" x14ac:dyDescent="0.15">
      <c r="A498" s="322">
        <v>1623000930</v>
      </c>
      <c r="B498" s="322" t="s">
        <v>643</v>
      </c>
      <c r="E498">
        <v>1624000930</v>
      </c>
      <c r="G498">
        <f t="shared" si="7"/>
        <v>1623000930</v>
      </c>
    </row>
    <row r="499" spans="1:7" ht="14" x14ac:dyDescent="0.15">
      <c r="A499" s="322">
        <v>1623000980</v>
      </c>
      <c r="B499" s="322" t="s">
        <v>1781</v>
      </c>
      <c r="G499">
        <f t="shared" si="7"/>
        <v>1623000980</v>
      </c>
    </row>
    <row r="500" spans="1:7" ht="14" x14ac:dyDescent="0.15">
      <c r="A500" s="322">
        <v>1623000981</v>
      </c>
      <c r="B500" s="322" t="s">
        <v>74</v>
      </c>
      <c r="E500" s="182"/>
      <c r="G500" t="e">
        <f t="shared" si="7"/>
        <v>#N/A</v>
      </c>
    </row>
    <row r="501" spans="1:7" ht="14" x14ac:dyDescent="0.15">
      <c r="A501" s="322">
        <v>1623100530</v>
      </c>
      <c r="B501" s="322" t="s">
        <v>2101</v>
      </c>
      <c r="E501">
        <v>1631000610</v>
      </c>
      <c r="G501">
        <f t="shared" si="7"/>
        <v>1623100530</v>
      </c>
    </row>
    <row r="502" spans="1:7" ht="14" x14ac:dyDescent="0.15">
      <c r="A502" s="322">
        <v>1623100731</v>
      </c>
      <c r="B502" s="322" t="s">
        <v>1782</v>
      </c>
      <c r="E502">
        <v>1631100610</v>
      </c>
      <c r="G502">
        <f t="shared" si="7"/>
        <v>1623100731</v>
      </c>
    </row>
    <row r="503" spans="1:7" ht="14" x14ac:dyDescent="0.15">
      <c r="A503" s="322">
        <v>1624000110</v>
      </c>
      <c r="B503" s="322" t="s">
        <v>1603</v>
      </c>
      <c r="E503">
        <v>1632000620</v>
      </c>
      <c r="G503">
        <f t="shared" si="7"/>
        <v>1624000110</v>
      </c>
    </row>
    <row r="504" spans="1:7" ht="14" x14ac:dyDescent="0.15">
      <c r="A504" s="322">
        <v>1624000511</v>
      </c>
      <c r="B504" s="322" t="s">
        <v>1783</v>
      </c>
      <c r="E504">
        <v>1632000623</v>
      </c>
      <c r="G504">
        <f t="shared" si="7"/>
        <v>1624000511</v>
      </c>
    </row>
    <row r="505" spans="1:7" ht="14" x14ac:dyDescent="0.15">
      <c r="A505" s="322">
        <v>1624000560</v>
      </c>
      <c r="B505" s="322" t="s">
        <v>1784</v>
      </c>
      <c r="E505" s="182"/>
      <c r="G505">
        <f t="shared" si="7"/>
        <v>1624000560</v>
      </c>
    </row>
    <row r="506" spans="1:7" ht="14" x14ac:dyDescent="0.15">
      <c r="A506" s="322">
        <v>1624000780</v>
      </c>
      <c r="B506" s="322" t="s">
        <v>1785</v>
      </c>
      <c r="E506">
        <v>1649000691</v>
      </c>
      <c r="G506">
        <f t="shared" si="7"/>
        <v>1624000780</v>
      </c>
    </row>
    <row r="507" spans="1:7" ht="14" x14ac:dyDescent="0.15">
      <c r="A507" s="322">
        <v>1624000930</v>
      </c>
      <c r="B507" s="322" t="s">
        <v>1604</v>
      </c>
      <c r="E507">
        <v>1649000692</v>
      </c>
      <c r="G507">
        <f t="shared" si="7"/>
        <v>1624000930</v>
      </c>
    </row>
    <row r="508" spans="1:7" ht="14" x14ac:dyDescent="0.15">
      <c r="A508" s="322">
        <v>1631000610</v>
      </c>
      <c r="B508" s="322" t="s">
        <v>1069</v>
      </c>
      <c r="E508">
        <v>1649000693</v>
      </c>
      <c r="G508">
        <f t="shared" si="7"/>
        <v>1631000610</v>
      </c>
    </row>
    <row r="509" spans="1:7" ht="14" x14ac:dyDescent="0.15">
      <c r="A509" s="322">
        <v>1631100610</v>
      </c>
      <c r="B509" s="322" t="s">
        <v>1070</v>
      </c>
      <c r="E509">
        <v>1649000694</v>
      </c>
      <c r="G509">
        <f t="shared" si="7"/>
        <v>1631100610</v>
      </c>
    </row>
    <row r="510" spans="1:7" ht="14" x14ac:dyDescent="0.15">
      <c r="A510" s="322">
        <v>1632000620</v>
      </c>
      <c r="B510" s="322" t="s">
        <v>1071</v>
      </c>
      <c r="E510">
        <v>1649000695</v>
      </c>
      <c r="G510">
        <f t="shared" si="7"/>
        <v>1632000620</v>
      </c>
    </row>
    <row r="511" spans="1:7" ht="14" x14ac:dyDescent="0.15">
      <c r="A511" s="322">
        <v>1632000622</v>
      </c>
      <c r="B511" s="322" t="s">
        <v>1128</v>
      </c>
      <c r="E511">
        <v>1649000696</v>
      </c>
      <c r="G511" t="e">
        <f t="shared" si="7"/>
        <v>#N/A</v>
      </c>
    </row>
    <row r="512" spans="1:7" ht="14" x14ac:dyDescent="0.15">
      <c r="A512" s="322">
        <v>1632000623</v>
      </c>
      <c r="B512" s="322" t="s">
        <v>1072</v>
      </c>
      <c r="E512">
        <v>1649100691</v>
      </c>
      <c r="G512">
        <f t="shared" si="7"/>
        <v>1632000623</v>
      </c>
    </row>
    <row r="513" spans="1:7" ht="14" x14ac:dyDescent="0.15">
      <c r="A513" s="322">
        <v>1649000691</v>
      </c>
      <c r="B513" s="322" t="s">
        <v>1226</v>
      </c>
      <c r="E513">
        <v>1649100692</v>
      </c>
      <c r="G513">
        <f t="shared" si="7"/>
        <v>1649000691</v>
      </c>
    </row>
    <row r="514" spans="1:7" ht="14" x14ac:dyDescent="0.15">
      <c r="A514" s="322">
        <v>1649000692</v>
      </c>
      <c r="B514" s="322" t="s">
        <v>34</v>
      </c>
      <c r="E514">
        <v>1649100693</v>
      </c>
      <c r="G514">
        <f t="shared" si="7"/>
        <v>1649000692</v>
      </c>
    </row>
    <row r="515" spans="1:7" ht="14" x14ac:dyDescent="0.15">
      <c r="A515" s="322">
        <v>1649000693</v>
      </c>
      <c r="B515" s="322" t="s">
        <v>35</v>
      </c>
      <c r="E515" s="182"/>
      <c r="G515">
        <f t="shared" ref="G515:G578" si="8">VLOOKUP(A515,$E$2:$E$1373,1,FALSE)</f>
        <v>1649000693</v>
      </c>
    </row>
    <row r="516" spans="1:7" ht="14" x14ac:dyDescent="0.15">
      <c r="A516" s="322">
        <v>1649000694</v>
      </c>
      <c r="B516" s="322" t="s">
        <v>1064</v>
      </c>
      <c r="E516" s="182"/>
      <c r="G516">
        <f t="shared" si="8"/>
        <v>1649000694</v>
      </c>
    </row>
    <row r="517" spans="1:7" ht="14" x14ac:dyDescent="0.15">
      <c r="A517" s="322">
        <v>1649000695</v>
      </c>
      <c r="B517" s="322" t="s">
        <v>1065</v>
      </c>
      <c r="E517">
        <v>1711000110</v>
      </c>
      <c r="G517">
        <f t="shared" si="8"/>
        <v>1649000695</v>
      </c>
    </row>
    <row r="518" spans="1:7" ht="14" x14ac:dyDescent="0.15">
      <c r="A518" s="322">
        <v>1649000696</v>
      </c>
      <c r="B518" s="322" t="s">
        <v>1066</v>
      </c>
      <c r="E518">
        <v>1711000210</v>
      </c>
      <c r="G518">
        <f t="shared" si="8"/>
        <v>1649000696</v>
      </c>
    </row>
    <row r="519" spans="1:7" ht="14" x14ac:dyDescent="0.15">
      <c r="A519" s="322">
        <v>1649100691</v>
      </c>
      <c r="B519" s="322" t="s">
        <v>1059</v>
      </c>
      <c r="E519">
        <v>1711000511</v>
      </c>
      <c r="G519">
        <f t="shared" si="8"/>
        <v>1649100691</v>
      </c>
    </row>
    <row r="520" spans="1:7" ht="14" x14ac:dyDescent="0.15">
      <c r="A520" s="322">
        <v>1649100692</v>
      </c>
      <c r="B520" s="322" t="s">
        <v>1060</v>
      </c>
      <c r="E520">
        <v>1711000512</v>
      </c>
      <c r="G520">
        <f t="shared" si="8"/>
        <v>1649100692</v>
      </c>
    </row>
    <row r="521" spans="1:7" ht="14" x14ac:dyDescent="0.15">
      <c r="A521" s="322">
        <v>1649100693</v>
      </c>
      <c r="B521" s="322" t="s">
        <v>1061</v>
      </c>
      <c r="E521">
        <v>1711000521</v>
      </c>
      <c r="G521">
        <f t="shared" si="8"/>
        <v>1649100693</v>
      </c>
    </row>
    <row r="522" spans="1:7" ht="14" x14ac:dyDescent="0.15">
      <c r="A522" s="322">
        <v>1700000981</v>
      </c>
      <c r="B522" s="322" t="s">
        <v>74</v>
      </c>
      <c r="E522">
        <v>1711000560</v>
      </c>
      <c r="G522" t="e">
        <f t="shared" si="8"/>
        <v>#N/A</v>
      </c>
    </row>
    <row r="523" spans="1:7" ht="14" x14ac:dyDescent="0.15">
      <c r="A523" s="322">
        <v>1711000110</v>
      </c>
      <c r="B523" s="322" t="s">
        <v>521</v>
      </c>
      <c r="E523">
        <v>1711000580</v>
      </c>
      <c r="G523">
        <f t="shared" si="8"/>
        <v>1711000110</v>
      </c>
    </row>
    <row r="524" spans="1:7" ht="14" x14ac:dyDescent="0.15">
      <c r="A524" s="322">
        <v>1711000210</v>
      </c>
      <c r="B524" s="322" t="s">
        <v>1483</v>
      </c>
      <c r="E524">
        <v>1711000581</v>
      </c>
      <c r="G524">
        <f t="shared" si="8"/>
        <v>1711000210</v>
      </c>
    </row>
    <row r="525" spans="1:7" ht="14" x14ac:dyDescent="0.15">
      <c r="A525" s="322">
        <v>1711000511</v>
      </c>
      <c r="B525" s="322" t="s">
        <v>644</v>
      </c>
      <c r="E525">
        <v>1711000760</v>
      </c>
      <c r="G525">
        <f t="shared" si="8"/>
        <v>1711000511</v>
      </c>
    </row>
    <row r="526" spans="1:7" ht="14" x14ac:dyDescent="0.15">
      <c r="A526" s="322">
        <v>1711000512</v>
      </c>
      <c r="B526" s="322" t="s">
        <v>645</v>
      </c>
      <c r="E526">
        <v>1711000780</v>
      </c>
      <c r="G526">
        <f t="shared" si="8"/>
        <v>1711000512</v>
      </c>
    </row>
    <row r="527" spans="1:7" ht="14" x14ac:dyDescent="0.15">
      <c r="A527" s="322">
        <v>1711000521</v>
      </c>
      <c r="B527" s="322" t="s">
        <v>646</v>
      </c>
      <c r="E527">
        <v>1711000930</v>
      </c>
      <c r="G527">
        <f t="shared" si="8"/>
        <v>1711000521</v>
      </c>
    </row>
    <row r="528" spans="1:7" ht="14" x14ac:dyDescent="0.15">
      <c r="A528" s="322">
        <v>1711000560</v>
      </c>
      <c r="B528" s="322" t="s">
        <v>647</v>
      </c>
      <c r="E528">
        <v>1711003731</v>
      </c>
      <c r="G528">
        <f t="shared" si="8"/>
        <v>1711000560</v>
      </c>
    </row>
    <row r="529" spans="1:7" ht="14" x14ac:dyDescent="0.15">
      <c r="A529" s="322">
        <v>1711000580</v>
      </c>
      <c r="B529" s="322" t="s">
        <v>648</v>
      </c>
      <c r="E529">
        <v>1711100980</v>
      </c>
      <c r="G529">
        <f t="shared" si="8"/>
        <v>1711000580</v>
      </c>
    </row>
    <row r="530" spans="1:7" ht="14" x14ac:dyDescent="0.15">
      <c r="A530" s="322">
        <v>1711000581</v>
      </c>
      <c r="B530" s="322" t="s">
        <v>1787</v>
      </c>
      <c r="E530">
        <v>1712000110</v>
      </c>
      <c r="G530">
        <f t="shared" si="8"/>
        <v>1711000581</v>
      </c>
    </row>
    <row r="531" spans="1:7" ht="14" x14ac:dyDescent="0.15">
      <c r="A531" s="322">
        <v>1711000731</v>
      </c>
      <c r="B531" s="322" t="s">
        <v>1527</v>
      </c>
      <c r="E531">
        <v>1712000731</v>
      </c>
      <c r="G531" t="e">
        <f t="shared" si="8"/>
        <v>#N/A</v>
      </c>
    </row>
    <row r="532" spans="1:7" ht="14" x14ac:dyDescent="0.15">
      <c r="A532" s="322">
        <v>1711000760</v>
      </c>
      <c r="B532" s="322" t="s">
        <v>552</v>
      </c>
      <c r="E532">
        <v>1712000910</v>
      </c>
      <c r="G532">
        <f t="shared" si="8"/>
        <v>1711000760</v>
      </c>
    </row>
    <row r="533" spans="1:7" ht="14" x14ac:dyDescent="0.15">
      <c r="A533" s="322">
        <v>1711000780</v>
      </c>
      <c r="B533" s="322" t="s">
        <v>650</v>
      </c>
      <c r="E533">
        <v>1712001731</v>
      </c>
      <c r="G533">
        <f t="shared" si="8"/>
        <v>1711000780</v>
      </c>
    </row>
    <row r="534" spans="1:7" ht="14" x14ac:dyDescent="0.15">
      <c r="A534" s="322">
        <v>1711000930</v>
      </c>
      <c r="B534" s="322" t="s">
        <v>651</v>
      </c>
      <c r="E534">
        <v>1712002731</v>
      </c>
      <c r="G534">
        <f t="shared" si="8"/>
        <v>1711000930</v>
      </c>
    </row>
    <row r="535" spans="1:7" ht="14" x14ac:dyDescent="0.15">
      <c r="A535" s="322">
        <v>1711003731</v>
      </c>
      <c r="B535" s="322" t="s">
        <v>113</v>
      </c>
      <c r="E535">
        <v>1712003731</v>
      </c>
      <c r="G535">
        <f t="shared" si="8"/>
        <v>1711003731</v>
      </c>
    </row>
    <row r="536" spans="1:7" ht="14" x14ac:dyDescent="0.15">
      <c r="A536" s="322">
        <v>1711100980</v>
      </c>
      <c r="B536" s="322" t="s">
        <v>652</v>
      </c>
      <c r="E536">
        <v>1712004731</v>
      </c>
      <c r="G536">
        <f t="shared" si="8"/>
        <v>1711100980</v>
      </c>
    </row>
    <row r="537" spans="1:7" ht="14" x14ac:dyDescent="0.15">
      <c r="A537" s="322">
        <v>1712000110</v>
      </c>
      <c r="B537" s="322" t="s">
        <v>38</v>
      </c>
      <c r="E537">
        <v>1712005731</v>
      </c>
      <c r="G537">
        <f t="shared" si="8"/>
        <v>1712000110</v>
      </c>
    </row>
    <row r="538" spans="1:7" ht="14" x14ac:dyDescent="0.15">
      <c r="A538" s="322">
        <v>1712000731</v>
      </c>
      <c r="B538" s="322" t="s">
        <v>46</v>
      </c>
      <c r="E538">
        <v>1712006731</v>
      </c>
      <c r="G538">
        <f t="shared" si="8"/>
        <v>1712000731</v>
      </c>
    </row>
    <row r="539" spans="1:7" ht="14" x14ac:dyDescent="0.15">
      <c r="A539" s="322">
        <v>1712000750</v>
      </c>
      <c r="B539" s="322" t="s">
        <v>714</v>
      </c>
      <c r="E539">
        <v>1712200110</v>
      </c>
      <c r="G539" t="e">
        <f t="shared" si="8"/>
        <v>#N/A</v>
      </c>
    </row>
    <row r="540" spans="1:7" ht="14" x14ac:dyDescent="0.15">
      <c r="A540" s="322">
        <v>1712000910</v>
      </c>
      <c r="B540" s="322" t="s">
        <v>2102</v>
      </c>
      <c r="E540">
        <v>1712200430</v>
      </c>
      <c r="G540">
        <f t="shared" si="8"/>
        <v>1712000910</v>
      </c>
    </row>
    <row r="541" spans="1:7" ht="14" x14ac:dyDescent="0.15">
      <c r="A541" s="322">
        <v>1712001731</v>
      </c>
      <c r="B541" s="322" t="s">
        <v>47</v>
      </c>
      <c r="E541">
        <v>1712200751</v>
      </c>
      <c r="G541">
        <f t="shared" si="8"/>
        <v>1712001731</v>
      </c>
    </row>
    <row r="542" spans="1:7" ht="14" x14ac:dyDescent="0.15">
      <c r="A542" s="322">
        <v>1712002731</v>
      </c>
      <c r="B542" s="322" t="s">
        <v>256</v>
      </c>
      <c r="E542">
        <v>1712200752</v>
      </c>
      <c r="G542">
        <f t="shared" si="8"/>
        <v>1712002731</v>
      </c>
    </row>
    <row r="543" spans="1:7" ht="14" x14ac:dyDescent="0.15">
      <c r="A543" s="322">
        <v>1712003731</v>
      </c>
      <c r="B543" s="322" t="s">
        <v>257</v>
      </c>
      <c r="E543">
        <v>1712200753</v>
      </c>
      <c r="G543">
        <f t="shared" si="8"/>
        <v>1712003731</v>
      </c>
    </row>
    <row r="544" spans="1:7" ht="14" x14ac:dyDescent="0.15">
      <c r="A544" s="322">
        <v>1712004731</v>
      </c>
      <c r="B544" s="322" t="s">
        <v>104</v>
      </c>
      <c r="E544">
        <v>1712200754</v>
      </c>
      <c r="G544">
        <f t="shared" si="8"/>
        <v>1712004731</v>
      </c>
    </row>
    <row r="545" spans="1:7" ht="14" x14ac:dyDescent="0.15">
      <c r="A545" s="322">
        <v>1712005731</v>
      </c>
      <c r="B545" s="322" t="s">
        <v>1526</v>
      </c>
      <c r="E545">
        <v>1712200755</v>
      </c>
      <c r="G545">
        <f t="shared" si="8"/>
        <v>1712005731</v>
      </c>
    </row>
    <row r="546" spans="1:7" ht="14" x14ac:dyDescent="0.15">
      <c r="A546" s="322">
        <v>1712006731</v>
      </c>
      <c r="B546" s="322" t="s">
        <v>1525</v>
      </c>
      <c r="E546">
        <v>1712201731</v>
      </c>
      <c r="G546">
        <f t="shared" si="8"/>
        <v>1712006731</v>
      </c>
    </row>
    <row r="547" spans="1:7" ht="14" x14ac:dyDescent="0.15">
      <c r="A547" s="322">
        <v>1712200110</v>
      </c>
      <c r="B547" s="322" t="s">
        <v>521</v>
      </c>
      <c r="E547">
        <v>1712210750</v>
      </c>
      <c r="G547">
        <f t="shared" si="8"/>
        <v>1712200110</v>
      </c>
    </row>
    <row r="548" spans="1:7" ht="14" x14ac:dyDescent="0.15">
      <c r="A548" s="322">
        <v>1712200430</v>
      </c>
      <c r="B548" s="322" t="s">
        <v>1788</v>
      </c>
      <c r="E548">
        <v>1712210751</v>
      </c>
      <c r="G548">
        <f t="shared" si="8"/>
        <v>1712200430</v>
      </c>
    </row>
    <row r="549" spans="1:7" ht="14" x14ac:dyDescent="0.15">
      <c r="A549" s="322">
        <v>1712200731</v>
      </c>
      <c r="B549" s="322" t="s">
        <v>105</v>
      </c>
      <c r="E549">
        <v>1712300110</v>
      </c>
      <c r="G549" t="e">
        <f t="shared" si="8"/>
        <v>#N/A</v>
      </c>
    </row>
    <row r="550" spans="1:7" ht="14" x14ac:dyDescent="0.15">
      <c r="A550" s="322">
        <v>1712200740</v>
      </c>
      <c r="B550" s="322" t="s">
        <v>654</v>
      </c>
      <c r="E550">
        <v>1712300560</v>
      </c>
      <c r="G550" t="e">
        <f t="shared" si="8"/>
        <v>#N/A</v>
      </c>
    </row>
    <row r="551" spans="1:7" ht="14" x14ac:dyDescent="0.15">
      <c r="A551" s="322">
        <v>1712200750</v>
      </c>
      <c r="B551" s="322" t="s">
        <v>655</v>
      </c>
      <c r="E551">
        <v>1712300750</v>
      </c>
      <c r="G551" t="e">
        <f t="shared" si="8"/>
        <v>#N/A</v>
      </c>
    </row>
    <row r="552" spans="1:7" ht="14" x14ac:dyDescent="0.15">
      <c r="A552" s="322">
        <v>1712200751</v>
      </c>
      <c r="B552" s="322" t="s">
        <v>656</v>
      </c>
      <c r="E552">
        <v>1712300752</v>
      </c>
      <c r="G552">
        <f t="shared" si="8"/>
        <v>1712200751</v>
      </c>
    </row>
    <row r="553" spans="1:7" ht="14" x14ac:dyDescent="0.15">
      <c r="A553" s="322">
        <v>1712200752</v>
      </c>
      <c r="B553" s="322" t="s">
        <v>657</v>
      </c>
      <c r="E553">
        <v>1712300753</v>
      </c>
      <c r="G553">
        <f t="shared" si="8"/>
        <v>1712200752</v>
      </c>
    </row>
    <row r="554" spans="1:7" ht="14" x14ac:dyDescent="0.15">
      <c r="A554" s="322">
        <v>1712200753</v>
      </c>
      <c r="B554" s="322" t="s">
        <v>658</v>
      </c>
      <c r="E554">
        <v>1712300755</v>
      </c>
      <c r="G554">
        <f t="shared" si="8"/>
        <v>1712200753</v>
      </c>
    </row>
    <row r="555" spans="1:7" ht="14" x14ac:dyDescent="0.15">
      <c r="A555" s="322">
        <v>1712200754</v>
      </c>
      <c r="B555" s="322" t="s">
        <v>1550</v>
      </c>
      <c r="E555">
        <v>1712300756</v>
      </c>
      <c r="G555">
        <f t="shared" si="8"/>
        <v>1712200754</v>
      </c>
    </row>
    <row r="556" spans="1:7" ht="14" x14ac:dyDescent="0.15">
      <c r="A556" s="322">
        <v>1712200755</v>
      </c>
      <c r="B556" s="322" t="s">
        <v>1643</v>
      </c>
      <c r="E556">
        <v>1712300757</v>
      </c>
      <c r="G556">
        <f t="shared" si="8"/>
        <v>1712200755</v>
      </c>
    </row>
    <row r="557" spans="1:7" ht="14" x14ac:dyDescent="0.15">
      <c r="A557" s="322">
        <v>1712201731</v>
      </c>
      <c r="B557" s="322" t="s">
        <v>659</v>
      </c>
      <c r="E557">
        <v>1712300781</v>
      </c>
      <c r="G557">
        <f t="shared" si="8"/>
        <v>1712201731</v>
      </c>
    </row>
    <row r="558" spans="1:7" ht="14" x14ac:dyDescent="0.15">
      <c r="A558" s="322">
        <v>1712202731</v>
      </c>
      <c r="B558" s="322" t="s">
        <v>106</v>
      </c>
      <c r="E558">
        <v>1712303731</v>
      </c>
      <c r="G558" t="e">
        <f t="shared" si="8"/>
        <v>#N/A</v>
      </c>
    </row>
    <row r="559" spans="1:7" ht="14" x14ac:dyDescent="0.15">
      <c r="A559" s="322">
        <v>1712203731</v>
      </c>
      <c r="B559" s="322" t="s">
        <v>107</v>
      </c>
      <c r="E559">
        <v>1712304731</v>
      </c>
      <c r="G559" t="e">
        <f t="shared" si="8"/>
        <v>#N/A</v>
      </c>
    </row>
    <row r="560" spans="1:7" ht="14" x14ac:dyDescent="0.15">
      <c r="A560" s="322">
        <v>1712204731</v>
      </c>
      <c r="B560" s="322" t="s">
        <v>108</v>
      </c>
      <c r="E560">
        <v>1712306731</v>
      </c>
      <c r="G560" t="e">
        <f t="shared" si="8"/>
        <v>#N/A</v>
      </c>
    </row>
    <row r="561" spans="1:7" ht="14" x14ac:dyDescent="0.15">
      <c r="A561" s="322">
        <v>1712205731</v>
      </c>
      <c r="B561" s="322" t="s">
        <v>109</v>
      </c>
      <c r="E561">
        <v>1712310110</v>
      </c>
      <c r="G561" t="e">
        <f t="shared" si="8"/>
        <v>#N/A</v>
      </c>
    </row>
    <row r="562" spans="1:7" ht="14" x14ac:dyDescent="0.15">
      <c r="A562" s="322">
        <v>1712210750</v>
      </c>
      <c r="B562" s="322" t="s">
        <v>75</v>
      </c>
      <c r="E562">
        <v>1712311731</v>
      </c>
      <c r="G562">
        <f t="shared" si="8"/>
        <v>1712210750</v>
      </c>
    </row>
    <row r="563" spans="1:7" ht="14" x14ac:dyDescent="0.15">
      <c r="A563" s="322">
        <v>1712210751</v>
      </c>
      <c r="B563" s="322" t="s">
        <v>1547</v>
      </c>
      <c r="E563">
        <v>1712312731</v>
      </c>
      <c r="G563">
        <f t="shared" si="8"/>
        <v>1712210751</v>
      </c>
    </row>
    <row r="564" spans="1:7" ht="14" x14ac:dyDescent="0.15">
      <c r="A564" s="322">
        <v>1712300110</v>
      </c>
      <c r="B564" s="322" t="s">
        <v>522</v>
      </c>
      <c r="E564">
        <v>1712314731</v>
      </c>
      <c r="G564">
        <f t="shared" si="8"/>
        <v>1712300110</v>
      </c>
    </row>
    <row r="565" spans="1:7" ht="14" x14ac:dyDescent="0.15">
      <c r="A565" s="322">
        <v>1712300560</v>
      </c>
      <c r="B565" s="322" t="s">
        <v>664</v>
      </c>
      <c r="E565">
        <v>1712316731</v>
      </c>
      <c r="G565">
        <f t="shared" si="8"/>
        <v>1712300560</v>
      </c>
    </row>
    <row r="566" spans="1:7" ht="14" x14ac:dyDescent="0.15">
      <c r="A566" s="322">
        <v>1712300740</v>
      </c>
      <c r="B566" s="322" t="s">
        <v>665</v>
      </c>
      <c r="E566">
        <v>1712323731</v>
      </c>
      <c r="G566" t="e">
        <f t="shared" si="8"/>
        <v>#N/A</v>
      </c>
    </row>
    <row r="567" spans="1:7" ht="14" x14ac:dyDescent="0.15">
      <c r="A567" s="322">
        <v>1712300750</v>
      </c>
      <c r="B567" s="322" t="s">
        <v>666</v>
      </c>
      <c r="E567">
        <v>1712400530</v>
      </c>
      <c r="G567">
        <f t="shared" si="8"/>
        <v>1712300750</v>
      </c>
    </row>
    <row r="568" spans="1:7" ht="14" x14ac:dyDescent="0.15">
      <c r="A568" s="322">
        <v>1712300751</v>
      </c>
      <c r="B568" s="322" t="s">
        <v>667</v>
      </c>
      <c r="E568">
        <v>1712409530</v>
      </c>
      <c r="G568" t="e">
        <f t="shared" si="8"/>
        <v>#N/A</v>
      </c>
    </row>
    <row r="569" spans="1:7" ht="14" x14ac:dyDescent="0.15">
      <c r="A569" s="322">
        <v>1712300752</v>
      </c>
      <c r="B569" s="322" t="s">
        <v>668</v>
      </c>
      <c r="E569">
        <v>1712409731</v>
      </c>
      <c r="G569">
        <f t="shared" si="8"/>
        <v>1712300752</v>
      </c>
    </row>
    <row r="570" spans="1:7" ht="14" x14ac:dyDescent="0.15">
      <c r="A570" s="322">
        <v>1712300753</v>
      </c>
      <c r="B570" s="322" t="s">
        <v>669</v>
      </c>
      <c r="E570">
        <v>1712500110</v>
      </c>
      <c r="G570">
        <f t="shared" si="8"/>
        <v>1712300753</v>
      </c>
    </row>
    <row r="571" spans="1:7" ht="14" x14ac:dyDescent="0.15">
      <c r="A571" s="322">
        <v>1712300754</v>
      </c>
      <c r="B571" s="322" t="s">
        <v>670</v>
      </c>
      <c r="E571">
        <v>1712500750</v>
      </c>
      <c r="G571" t="e">
        <f t="shared" si="8"/>
        <v>#N/A</v>
      </c>
    </row>
    <row r="572" spans="1:7" ht="14" x14ac:dyDescent="0.15">
      <c r="A572" s="322">
        <v>1712300755</v>
      </c>
      <c r="B572" s="322" t="s">
        <v>671</v>
      </c>
      <c r="E572">
        <v>1712500751</v>
      </c>
      <c r="G572">
        <f t="shared" si="8"/>
        <v>1712300755</v>
      </c>
    </row>
    <row r="573" spans="1:7" ht="14" x14ac:dyDescent="0.15">
      <c r="A573" s="322">
        <v>1712300756</v>
      </c>
      <c r="B573" s="322" t="s">
        <v>1229</v>
      </c>
      <c r="E573">
        <v>1712500780</v>
      </c>
      <c r="G573">
        <f t="shared" si="8"/>
        <v>1712300756</v>
      </c>
    </row>
    <row r="574" spans="1:7" ht="14" x14ac:dyDescent="0.15">
      <c r="A574" s="322">
        <v>1712300757</v>
      </c>
      <c r="B574" s="322" t="s">
        <v>1523</v>
      </c>
      <c r="E574">
        <v>1712501731</v>
      </c>
      <c r="G574">
        <f t="shared" si="8"/>
        <v>1712300757</v>
      </c>
    </row>
    <row r="575" spans="1:7" ht="14" x14ac:dyDescent="0.15">
      <c r="A575" s="322">
        <v>1712300781</v>
      </c>
      <c r="B575" s="322" t="s">
        <v>2103</v>
      </c>
      <c r="E575">
        <v>1712503731</v>
      </c>
      <c r="G575">
        <f t="shared" si="8"/>
        <v>1712300781</v>
      </c>
    </row>
    <row r="576" spans="1:7" ht="14" x14ac:dyDescent="0.15">
      <c r="A576" s="322">
        <v>1712303731</v>
      </c>
      <c r="B576" s="322" t="s">
        <v>2104</v>
      </c>
      <c r="E576">
        <v>1712504731</v>
      </c>
      <c r="G576">
        <f t="shared" si="8"/>
        <v>1712303731</v>
      </c>
    </row>
    <row r="577" spans="1:7" ht="14" x14ac:dyDescent="0.15">
      <c r="A577" s="322">
        <v>1712304731</v>
      </c>
      <c r="B577" s="322" t="s">
        <v>673</v>
      </c>
      <c r="E577">
        <v>1712506731</v>
      </c>
      <c r="G577">
        <f t="shared" si="8"/>
        <v>1712304731</v>
      </c>
    </row>
    <row r="578" spans="1:7" ht="14" x14ac:dyDescent="0.15">
      <c r="A578" s="322">
        <v>1712305731</v>
      </c>
      <c r="B578" s="322" t="s">
        <v>110</v>
      </c>
      <c r="E578">
        <v>1712509530</v>
      </c>
      <c r="G578" t="e">
        <f t="shared" si="8"/>
        <v>#N/A</v>
      </c>
    </row>
    <row r="579" spans="1:7" ht="14" x14ac:dyDescent="0.15">
      <c r="A579" s="322">
        <v>1712306731</v>
      </c>
      <c r="B579" s="322" t="s">
        <v>1230</v>
      </c>
      <c r="E579">
        <v>1712600731</v>
      </c>
      <c r="G579">
        <f t="shared" ref="G579:G642" si="9">VLOOKUP(A579,$E$2:$E$1373,1,FALSE)</f>
        <v>1712306731</v>
      </c>
    </row>
    <row r="580" spans="1:7" ht="14" x14ac:dyDescent="0.15">
      <c r="A580" s="322">
        <v>1712307731</v>
      </c>
      <c r="B580" s="322" t="s">
        <v>111</v>
      </c>
      <c r="E580">
        <v>1712800731</v>
      </c>
      <c r="G580" t="e">
        <f t="shared" si="9"/>
        <v>#N/A</v>
      </c>
    </row>
    <row r="581" spans="1:7" ht="14" x14ac:dyDescent="0.15">
      <c r="A581" s="322">
        <v>1712309530</v>
      </c>
      <c r="B581" s="322" t="s">
        <v>1522</v>
      </c>
      <c r="E581">
        <v>1713000731</v>
      </c>
      <c r="G581" t="e">
        <f t="shared" si="9"/>
        <v>#N/A</v>
      </c>
    </row>
    <row r="582" spans="1:7" ht="14" x14ac:dyDescent="0.15">
      <c r="A582" s="322">
        <v>1712309731</v>
      </c>
      <c r="B582" s="322" t="s">
        <v>1521</v>
      </c>
      <c r="E582">
        <v>1713001530</v>
      </c>
      <c r="G582" t="e">
        <f t="shared" si="9"/>
        <v>#N/A</v>
      </c>
    </row>
    <row r="583" spans="1:7" ht="14" x14ac:dyDescent="0.15">
      <c r="A583" s="322">
        <v>1712310110</v>
      </c>
      <c r="B583" s="322" t="s">
        <v>1520</v>
      </c>
      <c r="E583">
        <v>1713001731</v>
      </c>
      <c r="G583">
        <f t="shared" si="9"/>
        <v>1712310110</v>
      </c>
    </row>
    <row r="584" spans="1:7" ht="14" x14ac:dyDescent="0.15">
      <c r="A584" s="322">
        <v>1712311731</v>
      </c>
      <c r="B584" s="322" t="s">
        <v>2105</v>
      </c>
      <c r="E584">
        <v>1713002731</v>
      </c>
      <c r="G584">
        <f t="shared" si="9"/>
        <v>1712311731</v>
      </c>
    </row>
    <row r="585" spans="1:7" ht="14" x14ac:dyDescent="0.15">
      <c r="A585" s="322">
        <v>1712312731</v>
      </c>
      <c r="B585" s="322" t="s">
        <v>678</v>
      </c>
      <c r="E585">
        <v>1713004731</v>
      </c>
      <c r="G585">
        <f t="shared" si="9"/>
        <v>1712312731</v>
      </c>
    </row>
    <row r="586" spans="1:7" ht="14" x14ac:dyDescent="0.15">
      <c r="A586" s="322">
        <v>1712314731</v>
      </c>
      <c r="B586" s="322" t="s">
        <v>2106</v>
      </c>
      <c r="E586">
        <v>1713100731</v>
      </c>
      <c r="G586">
        <f t="shared" si="9"/>
        <v>1712314731</v>
      </c>
    </row>
    <row r="587" spans="1:7" ht="14" x14ac:dyDescent="0.15">
      <c r="A587" s="322">
        <v>1712316731</v>
      </c>
      <c r="B587" s="322" t="s">
        <v>2107</v>
      </c>
      <c r="E587">
        <v>1713200110</v>
      </c>
      <c r="G587">
        <f t="shared" si="9"/>
        <v>1712316731</v>
      </c>
    </row>
    <row r="588" spans="1:7" ht="14" x14ac:dyDescent="0.15">
      <c r="A588" s="322">
        <v>1712323731</v>
      </c>
      <c r="B588" s="322" t="s">
        <v>2108</v>
      </c>
      <c r="E588">
        <v>1714000110</v>
      </c>
      <c r="G588">
        <f t="shared" si="9"/>
        <v>1712323731</v>
      </c>
    </row>
    <row r="589" spans="1:7" ht="14" x14ac:dyDescent="0.15">
      <c r="A589" s="322">
        <v>1712400530</v>
      </c>
      <c r="B589" s="322" t="s">
        <v>2109</v>
      </c>
      <c r="E589">
        <v>1714000210</v>
      </c>
      <c r="G589">
        <f t="shared" si="9"/>
        <v>1712400530</v>
      </c>
    </row>
    <row r="590" spans="1:7" ht="14" x14ac:dyDescent="0.15">
      <c r="A590" s="322">
        <v>1712409530</v>
      </c>
      <c r="B590" s="322" t="s">
        <v>1790</v>
      </c>
      <c r="E590">
        <v>1714200523</v>
      </c>
      <c r="G590">
        <f t="shared" si="9"/>
        <v>1712409530</v>
      </c>
    </row>
    <row r="591" spans="1:7" ht="14" x14ac:dyDescent="0.15">
      <c r="A591" s="322">
        <v>1712409731</v>
      </c>
      <c r="B591" s="322" t="s">
        <v>1518</v>
      </c>
      <c r="E591">
        <v>1714200560</v>
      </c>
      <c r="G591">
        <f t="shared" si="9"/>
        <v>1712409731</v>
      </c>
    </row>
    <row r="592" spans="1:7" ht="14" x14ac:dyDescent="0.15">
      <c r="A592" s="322">
        <v>1712500110</v>
      </c>
      <c r="B592" s="322" t="s">
        <v>76</v>
      </c>
      <c r="E592">
        <v>1714200570</v>
      </c>
      <c r="G592">
        <f t="shared" si="9"/>
        <v>1712500110</v>
      </c>
    </row>
    <row r="593" spans="1:7" ht="14" x14ac:dyDescent="0.15">
      <c r="A593" s="322">
        <v>1712500731</v>
      </c>
      <c r="B593" s="322" t="s">
        <v>113</v>
      </c>
      <c r="E593">
        <v>1714200580</v>
      </c>
      <c r="G593" t="e">
        <f t="shared" si="9"/>
        <v>#N/A</v>
      </c>
    </row>
    <row r="594" spans="1:7" ht="14" x14ac:dyDescent="0.15">
      <c r="A594" s="322">
        <v>1712500750</v>
      </c>
      <c r="B594" s="322" t="s">
        <v>682</v>
      </c>
      <c r="E594">
        <v>1714200581</v>
      </c>
      <c r="G594">
        <f t="shared" si="9"/>
        <v>1712500750</v>
      </c>
    </row>
    <row r="595" spans="1:7" ht="14" x14ac:dyDescent="0.15">
      <c r="A595" s="322">
        <v>1712500751</v>
      </c>
      <c r="B595" s="322" t="s">
        <v>683</v>
      </c>
      <c r="E595">
        <v>1714200720</v>
      </c>
      <c r="G595">
        <f t="shared" si="9"/>
        <v>1712500751</v>
      </c>
    </row>
    <row r="596" spans="1:7" ht="14" x14ac:dyDescent="0.15">
      <c r="A596" s="322">
        <v>1712500752</v>
      </c>
      <c r="B596" s="322" t="s">
        <v>51</v>
      </c>
      <c r="E596">
        <v>1714200731</v>
      </c>
      <c r="G596" t="e">
        <f t="shared" si="9"/>
        <v>#N/A</v>
      </c>
    </row>
    <row r="597" spans="1:7" ht="14" x14ac:dyDescent="0.15">
      <c r="A597" s="322">
        <v>1712500780</v>
      </c>
      <c r="B597" s="322" t="s">
        <v>1933</v>
      </c>
      <c r="E597">
        <v>1714200781</v>
      </c>
      <c r="G597">
        <f t="shared" si="9"/>
        <v>1712500780</v>
      </c>
    </row>
    <row r="598" spans="1:7" ht="14" x14ac:dyDescent="0.15">
      <c r="A598" s="322">
        <v>1712501731</v>
      </c>
      <c r="B598" s="322" t="s">
        <v>2110</v>
      </c>
      <c r="E598">
        <v>1714200930</v>
      </c>
      <c r="G598">
        <f t="shared" si="9"/>
        <v>1712501731</v>
      </c>
    </row>
    <row r="599" spans="1:7" ht="14" x14ac:dyDescent="0.15">
      <c r="A599" s="322">
        <v>1712503731</v>
      </c>
      <c r="B599" s="322" t="s">
        <v>2111</v>
      </c>
      <c r="E599">
        <v>1714300731</v>
      </c>
      <c r="G599">
        <f t="shared" si="9"/>
        <v>1712503731</v>
      </c>
    </row>
    <row r="600" spans="1:7" ht="14" x14ac:dyDescent="0.15">
      <c r="A600" s="322">
        <v>1712504731</v>
      </c>
      <c r="B600" s="322" t="s">
        <v>2059</v>
      </c>
      <c r="E600">
        <v>1714300830</v>
      </c>
      <c r="G600">
        <f t="shared" si="9"/>
        <v>1712504731</v>
      </c>
    </row>
    <row r="601" spans="1:7" ht="14" x14ac:dyDescent="0.15">
      <c r="A601" s="322">
        <v>1712506731</v>
      </c>
      <c r="B601" s="322" t="s">
        <v>2060</v>
      </c>
      <c r="E601">
        <v>1715200110</v>
      </c>
      <c r="G601">
        <f t="shared" si="9"/>
        <v>1712506731</v>
      </c>
    </row>
    <row r="602" spans="1:7" ht="14" x14ac:dyDescent="0.15">
      <c r="A602" s="322">
        <v>1712509530</v>
      </c>
      <c r="B602" s="322" t="s">
        <v>1793</v>
      </c>
      <c r="E602">
        <v>1715200511</v>
      </c>
      <c r="G602">
        <f t="shared" si="9"/>
        <v>1712509530</v>
      </c>
    </row>
    <row r="603" spans="1:7" ht="14" x14ac:dyDescent="0.15">
      <c r="A603" s="322">
        <v>1712600731</v>
      </c>
      <c r="B603" s="322" t="s">
        <v>2112</v>
      </c>
      <c r="E603">
        <v>1715200512</v>
      </c>
      <c r="G603">
        <f t="shared" si="9"/>
        <v>1712600731</v>
      </c>
    </row>
    <row r="604" spans="1:7" ht="14" x14ac:dyDescent="0.15">
      <c r="A604" s="322">
        <v>1712800731</v>
      </c>
      <c r="B604" s="322" t="s">
        <v>1795</v>
      </c>
      <c r="E604">
        <v>1715200570</v>
      </c>
      <c r="G604">
        <f t="shared" si="9"/>
        <v>1712800731</v>
      </c>
    </row>
    <row r="605" spans="1:7" ht="14" x14ac:dyDescent="0.15">
      <c r="A605" s="322">
        <v>1713000731</v>
      </c>
      <c r="B605" s="322" t="s">
        <v>2113</v>
      </c>
      <c r="E605">
        <v>1715200720</v>
      </c>
      <c r="G605">
        <f t="shared" si="9"/>
        <v>1713000731</v>
      </c>
    </row>
    <row r="606" spans="1:7" ht="14" x14ac:dyDescent="0.15">
      <c r="A606" s="322">
        <v>1713001530</v>
      </c>
      <c r="B606" s="322" t="s">
        <v>2114</v>
      </c>
      <c r="E606">
        <v>1715200780</v>
      </c>
      <c r="G606">
        <f t="shared" si="9"/>
        <v>1713001530</v>
      </c>
    </row>
    <row r="607" spans="1:7" ht="14" x14ac:dyDescent="0.15">
      <c r="A607" s="322">
        <v>1713001731</v>
      </c>
      <c r="B607" s="322" t="s">
        <v>1450</v>
      </c>
      <c r="E607">
        <v>1715300750</v>
      </c>
      <c r="G607">
        <f t="shared" si="9"/>
        <v>1713001731</v>
      </c>
    </row>
    <row r="608" spans="1:7" ht="14" x14ac:dyDescent="0.15">
      <c r="A608" s="322">
        <v>1713002731</v>
      </c>
      <c r="B608" s="322" t="s">
        <v>1451</v>
      </c>
      <c r="E608" s="182"/>
      <c r="G608">
        <f t="shared" si="9"/>
        <v>1713002731</v>
      </c>
    </row>
    <row r="609" spans="1:7" ht="14" x14ac:dyDescent="0.15">
      <c r="A609" s="322">
        <v>1713004731</v>
      </c>
      <c r="B609" s="322" t="s">
        <v>2115</v>
      </c>
      <c r="E609" s="182"/>
      <c r="G609">
        <f t="shared" si="9"/>
        <v>1713004731</v>
      </c>
    </row>
    <row r="610" spans="1:7" ht="14" x14ac:dyDescent="0.15">
      <c r="A610" s="322">
        <v>1713100731</v>
      </c>
      <c r="B610" s="322" t="s">
        <v>2116</v>
      </c>
      <c r="E610">
        <v>1721000110</v>
      </c>
      <c r="G610">
        <f t="shared" si="9"/>
        <v>1713100731</v>
      </c>
    </row>
    <row r="611" spans="1:7" ht="14" x14ac:dyDescent="0.15">
      <c r="A611" s="322">
        <v>1713200110</v>
      </c>
      <c r="B611" s="322" t="s">
        <v>523</v>
      </c>
      <c r="E611">
        <v>1722000110</v>
      </c>
      <c r="G611">
        <f t="shared" si="9"/>
        <v>1713200110</v>
      </c>
    </row>
    <row r="612" spans="1:7" ht="14" x14ac:dyDescent="0.15">
      <c r="A612" s="322">
        <v>1714000110</v>
      </c>
      <c r="B612" s="322" t="s">
        <v>524</v>
      </c>
      <c r="E612">
        <v>1722000210</v>
      </c>
      <c r="G612">
        <f t="shared" si="9"/>
        <v>1714000110</v>
      </c>
    </row>
    <row r="613" spans="1:7" ht="14" x14ac:dyDescent="0.15">
      <c r="A613" s="322">
        <v>1714000210</v>
      </c>
      <c r="B613" s="322" t="s">
        <v>524</v>
      </c>
      <c r="E613">
        <v>1722000430</v>
      </c>
      <c r="G613">
        <f t="shared" si="9"/>
        <v>1714000210</v>
      </c>
    </row>
    <row r="614" spans="1:7" ht="14" x14ac:dyDescent="0.15">
      <c r="A614" s="322">
        <v>1714200523</v>
      </c>
      <c r="B614" s="322" t="s">
        <v>2036</v>
      </c>
      <c r="E614">
        <v>1722000511</v>
      </c>
      <c r="G614">
        <f t="shared" si="9"/>
        <v>1714200523</v>
      </c>
    </row>
    <row r="615" spans="1:7" ht="14" x14ac:dyDescent="0.15">
      <c r="A615" s="322">
        <v>1714200560</v>
      </c>
      <c r="B615" s="322" t="s">
        <v>687</v>
      </c>
      <c r="E615">
        <v>1722000540</v>
      </c>
      <c r="G615">
        <f t="shared" si="9"/>
        <v>1714200560</v>
      </c>
    </row>
    <row r="616" spans="1:7" ht="14" x14ac:dyDescent="0.15">
      <c r="A616" s="322">
        <v>1714200570</v>
      </c>
      <c r="B616" s="322" t="s">
        <v>258</v>
      </c>
      <c r="E616">
        <v>1722000550</v>
      </c>
      <c r="G616">
        <f t="shared" si="9"/>
        <v>1714200570</v>
      </c>
    </row>
    <row r="617" spans="1:7" ht="14" x14ac:dyDescent="0.15">
      <c r="A617" s="322">
        <v>1714200580</v>
      </c>
      <c r="B617" s="322" t="s">
        <v>688</v>
      </c>
      <c r="E617">
        <v>1722000560</v>
      </c>
      <c r="G617">
        <f t="shared" si="9"/>
        <v>1714200580</v>
      </c>
    </row>
    <row r="618" spans="1:7" ht="14" x14ac:dyDescent="0.15">
      <c r="A618" s="322">
        <v>1714200581</v>
      </c>
      <c r="B618" s="322" t="s">
        <v>1796</v>
      </c>
      <c r="E618">
        <v>1722000581</v>
      </c>
      <c r="G618">
        <f t="shared" si="9"/>
        <v>1714200581</v>
      </c>
    </row>
    <row r="619" spans="1:7" ht="14" x14ac:dyDescent="0.15">
      <c r="A619" s="322">
        <v>1714200720</v>
      </c>
      <c r="B619" s="322" t="s">
        <v>689</v>
      </c>
      <c r="E619">
        <v>1722000750</v>
      </c>
      <c r="G619">
        <f t="shared" si="9"/>
        <v>1714200720</v>
      </c>
    </row>
    <row r="620" spans="1:7" ht="14" x14ac:dyDescent="0.15">
      <c r="A620" s="322">
        <v>1714200731</v>
      </c>
      <c r="B620" s="322" t="s">
        <v>1517</v>
      </c>
      <c r="E620">
        <v>1722000751</v>
      </c>
      <c r="G620">
        <f t="shared" si="9"/>
        <v>1714200731</v>
      </c>
    </row>
    <row r="621" spans="1:7" ht="14" x14ac:dyDescent="0.15">
      <c r="A621" s="322">
        <v>1714200781</v>
      </c>
      <c r="B621" s="322" t="s">
        <v>691</v>
      </c>
      <c r="E621">
        <v>1722000753</v>
      </c>
      <c r="G621">
        <f t="shared" si="9"/>
        <v>1714200781</v>
      </c>
    </row>
    <row r="622" spans="1:7" ht="14" x14ac:dyDescent="0.15">
      <c r="A622" s="322">
        <v>1714200930</v>
      </c>
      <c r="B622" s="322" t="s">
        <v>2117</v>
      </c>
      <c r="E622">
        <v>1722000754</v>
      </c>
      <c r="G622">
        <f t="shared" si="9"/>
        <v>1714200930</v>
      </c>
    </row>
    <row r="623" spans="1:7" ht="14" x14ac:dyDescent="0.15">
      <c r="A623" s="322">
        <v>1714300731</v>
      </c>
      <c r="B623" s="322" t="s">
        <v>2118</v>
      </c>
      <c r="E623">
        <v>1722000755</v>
      </c>
      <c r="G623">
        <f t="shared" si="9"/>
        <v>1714300731</v>
      </c>
    </row>
    <row r="624" spans="1:7" ht="14" x14ac:dyDescent="0.15">
      <c r="A624" s="322">
        <v>1714300750</v>
      </c>
      <c r="B624" s="322" t="s">
        <v>693</v>
      </c>
      <c r="E624">
        <v>1722000756</v>
      </c>
      <c r="G624" t="e">
        <f t="shared" si="9"/>
        <v>#N/A</v>
      </c>
    </row>
    <row r="625" spans="1:7" ht="14" x14ac:dyDescent="0.15">
      <c r="A625" s="322">
        <v>1714300830</v>
      </c>
      <c r="B625" s="322" t="s">
        <v>694</v>
      </c>
      <c r="E625">
        <v>1722000757</v>
      </c>
      <c r="G625">
        <f t="shared" si="9"/>
        <v>1714300830</v>
      </c>
    </row>
    <row r="626" spans="1:7" ht="14" x14ac:dyDescent="0.15">
      <c r="A626" s="322">
        <v>1715200110</v>
      </c>
      <c r="B626" s="322" t="s">
        <v>523</v>
      </c>
      <c r="E626">
        <v>1722000910</v>
      </c>
      <c r="G626">
        <f t="shared" si="9"/>
        <v>1715200110</v>
      </c>
    </row>
    <row r="627" spans="1:7" ht="14" x14ac:dyDescent="0.15">
      <c r="A627" s="322">
        <v>1715200511</v>
      </c>
      <c r="B627" s="322" t="s">
        <v>1797</v>
      </c>
      <c r="E627">
        <v>1722000930</v>
      </c>
      <c r="G627">
        <f t="shared" si="9"/>
        <v>1715200511</v>
      </c>
    </row>
    <row r="628" spans="1:7" ht="14" x14ac:dyDescent="0.15">
      <c r="A628" s="322">
        <v>1715200512</v>
      </c>
      <c r="B628" s="322" t="s">
        <v>1798</v>
      </c>
      <c r="E628">
        <v>1722000980</v>
      </c>
      <c r="G628">
        <f t="shared" si="9"/>
        <v>1715200512</v>
      </c>
    </row>
    <row r="629" spans="1:7" ht="14" x14ac:dyDescent="0.15">
      <c r="A629" s="322">
        <v>1715200570</v>
      </c>
      <c r="B629" s="322" t="s">
        <v>1799</v>
      </c>
      <c r="E629">
        <v>1722001731</v>
      </c>
      <c r="G629">
        <f t="shared" si="9"/>
        <v>1715200570</v>
      </c>
    </row>
    <row r="630" spans="1:7" ht="14" x14ac:dyDescent="0.15">
      <c r="A630" s="322">
        <v>1715200720</v>
      </c>
      <c r="B630" s="322" t="s">
        <v>689</v>
      </c>
      <c r="E630">
        <v>1722002530</v>
      </c>
      <c r="G630">
        <f t="shared" si="9"/>
        <v>1715200720</v>
      </c>
    </row>
    <row r="631" spans="1:7" ht="14" x14ac:dyDescent="0.15">
      <c r="A631" s="322">
        <v>1715200780</v>
      </c>
      <c r="B631" s="322" t="s">
        <v>835</v>
      </c>
      <c r="E631">
        <v>1722003530</v>
      </c>
      <c r="G631">
        <f t="shared" si="9"/>
        <v>1715200780</v>
      </c>
    </row>
    <row r="632" spans="1:7" ht="14" x14ac:dyDescent="0.15">
      <c r="A632" s="322">
        <v>1715300750</v>
      </c>
      <c r="B632" s="322" t="s">
        <v>695</v>
      </c>
      <c r="E632">
        <v>1722004731</v>
      </c>
      <c r="G632">
        <f t="shared" si="9"/>
        <v>1715300750</v>
      </c>
    </row>
    <row r="633" spans="1:7" ht="14" x14ac:dyDescent="0.15">
      <c r="A633" s="322">
        <v>1720000981</v>
      </c>
      <c r="B633" s="322" t="s">
        <v>74</v>
      </c>
      <c r="E633">
        <v>1722005731</v>
      </c>
      <c r="G633" t="e">
        <f t="shared" si="9"/>
        <v>#N/A</v>
      </c>
    </row>
    <row r="634" spans="1:7" ht="14" x14ac:dyDescent="0.15">
      <c r="A634" s="322">
        <v>1721000110</v>
      </c>
      <c r="B634" s="322" t="s">
        <v>525</v>
      </c>
      <c r="E634">
        <v>1722006731</v>
      </c>
      <c r="G634">
        <f t="shared" si="9"/>
        <v>1721000110</v>
      </c>
    </row>
    <row r="635" spans="1:7" ht="14" x14ac:dyDescent="0.15">
      <c r="A635" s="322">
        <v>1722000110</v>
      </c>
      <c r="B635" s="322" t="s">
        <v>523</v>
      </c>
      <c r="E635">
        <v>1722008731</v>
      </c>
      <c r="G635">
        <f t="shared" si="9"/>
        <v>1722000110</v>
      </c>
    </row>
    <row r="636" spans="1:7" ht="14" x14ac:dyDescent="0.15">
      <c r="A636" s="322">
        <v>1722000210</v>
      </c>
      <c r="B636" s="322" t="s">
        <v>526</v>
      </c>
      <c r="E636">
        <v>1722009731</v>
      </c>
      <c r="G636">
        <f t="shared" si="9"/>
        <v>1722000210</v>
      </c>
    </row>
    <row r="637" spans="1:7" ht="14" x14ac:dyDescent="0.15">
      <c r="A637" s="322">
        <v>1722000430</v>
      </c>
      <c r="B637" s="322" t="s">
        <v>696</v>
      </c>
      <c r="E637">
        <v>1722100530</v>
      </c>
      <c r="G637">
        <f t="shared" si="9"/>
        <v>1722000430</v>
      </c>
    </row>
    <row r="638" spans="1:7" ht="14" x14ac:dyDescent="0.15">
      <c r="A638" s="322">
        <v>1722000511</v>
      </c>
      <c r="B638" s="322" t="s">
        <v>697</v>
      </c>
      <c r="E638">
        <v>1723000110</v>
      </c>
      <c r="G638">
        <f t="shared" si="9"/>
        <v>1722000511</v>
      </c>
    </row>
    <row r="639" spans="1:7" ht="14" x14ac:dyDescent="0.15">
      <c r="A639" s="322">
        <v>1722000530</v>
      </c>
      <c r="B639" s="322" t="s">
        <v>700</v>
      </c>
      <c r="E639">
        <v>1723000420</v>
      </c>
      <c r="G639" t="e">
        <f t="shared" si="9"/>
        <v>#N/A</v>
      </c>
    </row>
    <row r="640" spans="1:7" ht="14" x14ac:dyDescent="0.15">
      <c r="A640" s="322">
        <v>1722000540</v>
      </c>
      <c r="B640" s="322" t="s">
        <v>698</v>
      </c>
      <c r="E640">
        <v>1723000430</v>
      </c>
      <c r="G640">
        <f t="shared" si="9"/>
        <v>1722000540</v>
      </c>
    </row>
    <row r="641" spans="1:7" ht="14" x14ac:dyDescent="0.15">
      <c r="A641" s="322">
        <v>1722000550</v>
      </c>
      <c r="B641" s="322" t="s">
        <v>699</v>
      </c>
      <c r="E641">
        <v>1723000731</v>
      </c>
      <c r="G641">
        <f t="shared" si="9"/>
        <v>1722000550</v>
      </c>
    </row>
    <row r="642" spans="1:7" ht="14" x14ac:dyDescent="0.15">
      <c r="A642" s="322">
        <v>1722000560</v>
      </c>
      <c r="B642" s="322" t="s">
        <v>820</v>
      </c>
      <c r="E642">
        <v>1723000751</v>
      </c>
      <c r="G642">
        <f t="shared" si="9"/>
        <v>1722000560</v>
      </c>
    </row>
    <row r="643" spans="1:7" ht="14" x14ac:dyDescent="0.15">
      <c r="A643" s="322">
        <v>1722000581</v>
      </c>
      <c r="B643" s="322" t="s">
        <v>1800</v>
      </c>
      <c r="E643">
        <v>1723000810</v>
      </c>
      <c r="G643">
        <f t="shared" ref="G643:G706" si="10">VLOOKUP(A643,$E$2:$E$1373,1,FALSE)</f>
        <v>1722000581</v>
      </c>
    </row>
    <row r="644" spans="1:7" ht="14" x14ac:dyDescent="0.15">
      <c r="A644" s="322">
        <v>1722000731</v>
      </c>
      <c r="B644" s="322" t="s">
        <v>1516</v>
      </c>
      <c r="E644">
        <v>1724000731</v>
      </c>
      <c r="G644" t="e">
        <f t="shared" si="10"/>
        <v>#N/A</v>
      </c>
    </row>
    <row r="645" spans="1:7" ht="14" x14ac:dyDescent="0.15">
      <c r="A645" s="322">
        <v>1722000750</v>
      </c>
      <c r="B645" s="322" t="s">
        <v>701</v>
      </c>
      <c r="E645">
        <v>1724000830</v>
      </c>
      <c r="G645">
        <f t="shared" si="10"/>
        <v>1722000750</v>
      </c>
    </row>
    <row r="646" spans="1:7" ht="14" x14ac:dyDescent="0.15">
      <c r="A646" s="322">
        <v>1722000751</v>
      </c>
      <c r="B646" s="322" t="s">
        <v>702</v>
      </c>
      <c r="E646">
        <v>1726100110</v>
      </c>
      <c r="G646">
        <f t="shared" si="10"/>
        <v>1722000751</v>
      </c>
    </row>
    <row r="647" spans="1:7" ht="14" x14ac:dyDescent="0.15">
      <c r="A647" s="322">
        <v>1722000752</v>
      </c>
      <c r="B647" s="322" t="s">
        <v>703</v>
      </c>
      <c r="E647" s="182"/>
      <c r="G647" t="e">
        <f t="shared" si="10"/>
        <v>#N/A</v>
      </c>
    </row>
    <row r="648" spans="1:7" ht="14" x14ac:dyDescent="0.15">
      <c r="A648" s="322">
        <v>1722000753</v>
      </c>
      <c r="B648" s="322" t="s">
        <v>1515</v>
      </c>
      <c r="E648" s="182"/>
      <c r="G648">
        <f t="shared" si="10"/>
        <v>1722000753</v>
      </c>
    </row>
    <row r="649" spans="1:7" ht="14" x14ac:dyDescent="0.15">
      <c r="A649" s="322">
        <v>1722000754</v>
      </c>
      <c r="B649" s="322" t="s">
        <v>1609</v>
      </c>
      <c r="E649">
        <v>1731000110</v>
      </c>
      <c r="G649">
        <f t="shared" si="10"/>
        <v>1722000754</v>
      </c>
    </row>
    <row r="650" spans="1:7" ht="14" x14ac:dyDescent="0.15">
      <c r="A650" s="322">
        <v>1722000755</v>
      </c>
      <c r="B650" s="322" t="s">
        <v>1642</v>
      </c>
      <c r="E650">
        <v>1731000440</v>
      </c>
      <c r="G650">
        <f t="shared" si="10"/>
        <v>1722000755</v>
      </c>
    </row>
    <row r="651" spans="1:7" ht="14" x14ac:dyDescent="0.15">
      <c r="A651" s="322">
        <v>1722000756</v>
      </c>
      <c r="B651" s="322" t="s">
        <v>1941</v>
      </c>
      <c r="E651">
        <v>1731000511</v>
      </c>
      <c r="G651">
        <f t="shared" si="10"/>
        <v>1722000756</v>
      </c>
    </row>
    <row r="652" spans="1:7" ht="14" x14ac:dyDescent="0.15">
      <c r="A652" s="322">
        <v>1722000757</v>
      </c>
      <c r="B652" s="322" t="s">
        <v>1942</v>
      </c>
      <c r="E652">
        <v>1731000512</v>
      </c>
      <c r="G652">
        <f t="shared" si="10"/>
        <v>1722000757</v>
      </c>
    </row>
    <row r="653" spans="1:7" ht="14" x14ac:dyDescent="0.15">
      <c r="A653" s="322">
        <v>1722000910</v>
      </c>
      <c r="B653" s="322" t="s">
        <v>1148</v>
      </c>
      <c r="E653">
        <v>1731000520</v>
      </c>
      <c r="G653">
        <f t="shared" si="10"/>
        <v>1722000910</v>
      </c>
    </row>
    <row r="654" spans="1:7" ht="14" x14ac:dyDescent="0.15">
      <c r="A654" s="322">
        <v>1722000930</v>
      </c>
      <c r="B654" s="322" t="s">
        <v>1803</v>
      </c>
      <c r="E654">
        <v>1731000521</v>
      </c>
      <c r="G654">
        <f t="shared" si="10"/>
        <v>1722000930</v>
      </c>
    </row>
    <row r="655" spans="1:7" ht="14" x14ac:dyDescent="0.15">
      <c r="A655" s="322">
        <v>1722000980</v>
      </c>
      <c r="B655" s="322" t="s">
        <v>580</v>
      </c>
      <c r="E655">
        <v>1731000522</v>
      </c>
      <c r="G655">
        <f t="shared" si="10"/>
        <v>1722000980</v>
      </c>
    </row>
    <row r="656" spans="1:7" ht="14" x14ac:dyDescent="0.15">
      <c r="A656" s="322">
        <v>1722001731</v>
      </c>
      <c r="B656" s="322" t="s">
        <v>1804</v>
      </c>
      <c r="E656">
        <v>1731000523</v>
      </c>
      <c r="G656">
        <f t="shared" si="10"/>
        <v>1722001731</v>
      </c>
    </row>
    <row r="657" spans="1:7" ht="14" x14ac:dyDescent="0.15">
      <c r="A657" s="322">
        <v>1722002530</v>
      </c>
      <c r="B657" s="322" t="s">
        <v>2119</v>
      </c>
      <c r="E657">
        <v>1731000530</v>
      </c>
      <c r="G657">
        <f t="shared" si="10"/>
        <v>1722002530</v>
      </c>
    </row>
    <row r="658" spans="1:7" ht="14" x14ac:dyDescent="0.15">
      <c r="A658" s="322">
        <v>1722002731</v>
      </c>
      <c r="B658" s="322" t="s">
        <v>1514</v>
      </c>
      <c r="E658">
        <v>1731000550</v>
      </c>
      <c r="G658" t="e">
        <f t="shared" si="10"/>
        <v>#N/A</v>
      </c>
    </row>
    <row r="659" spans="1:7" ht="14" x14ac:dyDescent="0.15">
      <c r="A659" s="322">
        <v>1722003530</v>
      </c>
      <c r="B659" s="322" t="s">
        <v>2120</v>
      </c>
      <c r="E659">
        <v>1731000560</v>
      </c>
      <c r="G659">
        <f t="shared" si="10"/>
        <v>1722003530</v>
      </c>
    </row>
    <row r="660" spans="1:7" ht="14" x14ac:dyDescent="0.15">
      <c r="A660" s="322">
        <v>1722003731</v>
      </c>
      <c r="B660" s="322" t="s">
        <v>1513</v>
      </c>
      <c r="E660">
        <v>1731000570</v>
      </c>
      <c r="G660" t="e">
        <f t="shared" si="10"/>
        <v>#N/A</v>
      </c>
    </row>
    <row r="661" spans="1:7" ht="14" x14ac:dyDescent="0.15">
      <c r="A661" s="322">
        <v>1722004731</v>
      </c>
      <c r="B661" s="322" t="s">
        <v>1805</v>
      </c>
      <c r="E661">
        <v>1731000580</v>
      </c>
      <c r="G661">
        <f t="shared" si="10"/>
        <v>1722004731</v>
      </c>
    </row>
    <row r="662" spans="1:7" ht="14" x14ac:dyDescent="0.15">
      <c r="A662" s="322">
        <v>1722005731</v>
      </c>
      <c r="B662" s="322" t="s">
        <v>1806</v>
      </c>
      <c r="E662">
        <v>1731000581</v>
      </c>
      <c r="G662">
        <f t="shared" si="10"/>
        <v>1722005731</v>
      </c>
    </row>
    <row r="663" spans="1:7" ht="14" x14ac:dyDescent="0.15">
      <c r="A663" s="322">
        <v>1722006731</v>
      </c>
      <c r="B663" s="322" t="s">
        <v>1807</v>
      </c>
      <c r="E663">
        <v>1731000750</v>
      </c>
      <c r="G663">
        <f t="shared" si="10"/>
        <v>1722006731</v>
      </c>
    </row>
    <row r="664" spans="1:7" ht="14" x14ac:dyDescent="0.15">
      <c r="A664" s="322">
        <v>1722008731</v>
      </c>
      <c r="B664" s="322" t="s">
        <v>1330</v>
      </c>
      <c r="E664">
        <v>1731000780</v>
      </c>
      <c r="G664">
        <f t="shared" si="10"/>
        <v>1722008731</v>
      </c>
    </row>
    <row r="665" spans="1:7" ht="14" x14ac:dyDescent="0.15">
      <c r="A665" s="322">
        <v>1722009731</v>
      </c>
      <c r="B665" s="322" t="s">
        <v>2121</v>
      </c>
      <c r="E665">
        <v>1731000910</v>
      </c>
      <c r="G665">
        <f t="shared" si="10"/>
        <v>1722009731</v>
      </c>
    </row>
    <row r="666" spans="1:7" ht="14" x14ac:dyDescent="0.15">
      <c r="A666" s="322">
        <v>1722100530</v>
      </c>
      <c r="B666" s="322" t="s">
        <v>2122</v>
      </c>
      <c r="E666">
        <v>1731000930</v>
      </c>
      <c r="G666">
        <f t="shared" si="10"/>
        <v>1722100530</v>
      </c>
    </row>
    <row r="667" spans="1:7" ht="14" x14ac:dyDescent="0.15">
      <c r="A667" s="322">
        <v>1722100780</v>
      </c>
      <c r="B667" s="322" t="s">
        <v>580</v>
      </c>
      <c r="E667">
        <v>1731100530</v>
      </c>
      <c r="G667" t="e">
        <f t="shared" si="10"/>
        <v>#N/A</v>
      </c>
    </row>
    <row r="668" spans="1:7" ht="14" x14ac:dyDescent="0.15">
      <c r="A668" s="322">
        <v>1723000110</v>
      </c>
      <c r="B668" s="322" t="s">
        <v>527</v>
      </c>
      <c r="E668">
        <v>1732000110</v>
      </c>
      <c r="G668">
        <f t="shared" si="10"/>
        <v>1723000110</v>
      </c>
    </row>
    <row r="669" spans="1:7" ht="14" x14ac:dyDescent="0.15">
      <c r="A669" s="322">
        <v>1723000420</v>
      </c>
      <c r="B669" s="322" t="s">
        <v>712</v>
      </c>
      <c r="E669">
        <v>1732000511</v>
      </c>
      <c r="G669">
        <f t="shared" si="10"/>
        <v>1723000420</v>
      </c>
    </row>
    <row r="670" spans="1:7" ht="14" x14ac:dyDescent="0.15">
      <c r="A670" s="322">
        <v>1723000430</v>
      </c>
      <c r="B670" s="322" t="s">
        <v>713</v>
      </c>
      <c r="E670">
        <v>1732000512</v>
      </c>
      <c r="G670">
        <f t="shared" si="10"/>
        <v>1723000430</v>
      </c>
    </row>
    <row r="671" spans="1:7" ht="14" x14ac:dyDescent="0.15">
      <c r="A671" s="322">
        <v>1723000731</v>
      </c>
      <c r="B671" s="322" t="s">
        <v>2123</v>
      </c>
      <c r="E671">
        <v>1732000530</v>
      </c>
      <c r="G671">
        <f t="shared" si="10"/>
        <v>1723000731</v>
      </c>
    </row>
    <row r="672" spans="1:7" ht="14" x14ac:dyDescent="0.15">
      <c r="A672" s="322">
        <v>1723000750</v>
      </c>
      <c r="B672" s="322" t="s">
        <v>714</v>
      </c>
      <c r="E672">
        <v>1732000560</v>
      </c>
      <c r="G672" t="e">
        <f t="shared" si="10"/>
        <v>#N/A</v>
      </c>
    </row>
    <row r="673" spans="1:7" ht="14" x14ac:dyDescent="0.15">
      <c r="A673" s="322">
        <v>1723000751</v>
      </c>
      <c r="B673" s="322" t="s">
        <v>77</v>
      </c>
      <c r="E673">
        <v>1732000581</v>
      </c>
      <c r="G673">
        <f t="shared" si="10"/>
        <v>1723000751</v>
      </c>
    </row>
    <row r="674" spans="1:7" ht="14" x14ac:dyDescent="0.15">
      <c r="A674" s="322">
        <v>1723000810</v>
      </c>
      <c r="B674" s="322" t="s">
        <v>715</v>
      </c>
      <c r="E674">
        <v>1732000750</v>
      </c>
      <c r="G674">
        <f t="shared" si="10"/>
        <v>1723000810</v>
      </c>
    </row>
    <row r="675" spans="1:7" ht="14" x14ac:dyDescent="0.15">
      <c r="A675" s="322">
        <v>1723100810</v>
      </c>
      <c r="B675" s="322" t="s">
        <v>717</v>
      </c>
      <c r="E675">
        <v>1732000780</v>
      </c>
      <c r="G675" t="e">
        <f t="shared" si="10"/>
        <v>#N/A</v>
      </c>
    </row>
    <row r="676" spans="1:7" ht="14" x14ac:dyDescent="0.15">
      <c r="A676" s="322">
        <v>1724000731</v>
      </c>
      <c r="B676" s="322" t="s">
        <v>2061</v>
      </c>
      <c r="E676">
        <v>1732000950</v>
      </c>
      <c r="G676">
        <f t="shared" si="10"/>
        <v>1724000731</v>
      </c>
    </row>
    <row r="677" spans="1:7" ht="14" x14ac:dyDescent="0.15">
      <c r="A677" s="322">
        <v>1724000830</v>
      </c>
      <c r="B677" s="322" t="s">
        <v>718</v>
      </c>
      <c r="E677">
        <v>1733100110</v>
      </c>
      <c r="G677">
        <f t="shared" si="10"/>
        <v>1724000830</v>
      </c>
    </row>
    <row r="678" spans="1:7" ht="14" x14ac:dyDescent="0.15">
      <c r="A678" s="322">
        <v>1725000910</v>
      </c>
      <c r="B678" s="322" t="s">
        <v>741</v>
      </c>
      <c r="E678">
        <v>1733100511</v>
      </c>
      <c r="G678" t="e">
        <f t="shared" si="10"/>
        <v>#N/A</v>
      </c>
    </row>
    <row r="679" spans="1:7" ht="14" x14ac:dyDescent="0.15">
      <c r="A679" s="322">
        <v>1726100110</v>
      </c>
      <c r="B679" s="322" t="s">
        <v>523</v>
      </c>
      <c r="E679">
        <v>1733100531</v>
      </c>
      <c r="G679">
        <f t="shared" si="10"/>
        <v>1726100110</v>
      </c>
    </row>
    <row r="680" spans="1:7" ht="14" x14ac:dyDescent="0.15">
      <c r="A680" s="322">
        <v>1730000981</v>
      </c>
      <c r="B680" s="322" t="s">
        <v>74</v>
      </c>
      <c r="E680">
        <v>1733100560</v>
      </c>
      <c r="G680" t="e">
        <f t="shared" si="10"/>
        <v>#N/A</v>
      </c>
    </row>
    <row r="681" spans="1:7" ht="14" x14ac:dyDescent="0.15">
      <c r="A681" s="322">
        <v>1731000110</v>
      </c>
      <c r="B681" s="322" t="s">
        <v>528</v>
      </c>
      <c r="E681">
        <v>1733100731</v>
      </c>
      <c r="G681">
        <f t="shared" si="10"/>
        <v>1731000110</v>
      </c>
    </row>
    <row r="682" spans="1:7" ht="14" x14ac:dyDescent="0.15">
      <c r="A682" s="322">
        <v>1731000440</v>
      </c>
      <c r="B682" s="322" t="s">
        <v>719</v>
      </c>
      <c r="E682">
        <v>1733100780</v>
      </c>
      <c r="G682">
        <f t="shared" si="10"/>
        <v>1731000440</v>
      </c>
    </row>
    <row r="683" spans="1:7" ht="14" x14ac:dyDescent="0.15">
      <c r="A683" s="322">
        <v>1731000450</v>
      </c>
      <c r="B683" s="322" t="s">
        <v>720</v>
      </c>
      <c r="E683">
        <v>1733100930</v>
      </c>
      <c r="G683" t="e">
        <f t="shared" si="10"/>
        <v>#N/A</v>
      </c>
    </row>
    <row r="684" spans="1:7" ht="14" x14ac:dyDescent="0.15">
      <c r="A684" s="322">
        <v>1731000511</v>
      </c>
      <c r="B684" s="322" t="s">
        <v>721</v>
      </c>
      <c r="E684">
        <v>1733110530</v>
      </c>
      <c r="G684">
        <f t="shared" si="10"/>
        <v>1731000511</v>
      </c>
    </row>
    <row r="685" spans="1:7" ht="14" x14ac:dyDescent="0.15">
      <c r="A685" s="322">
        <v>1731000512</v>
      </c>
      <c r="B685" s="322" t="s">
        <v>722</v>
      </c>
      <c r="E685">
        <v>1733200731</v>
      </c>
      <c r="G685">
        <f t="shared" si="10"/>
        <v>1731000512</v>
      </c>
    </row>
    <row r="686" spans="1:7" ht="14" x14ac:dyDescent="0.15">
      <c r="A686" s="322">
        <v>1731000520</v>
      </c>
      <c r="B686" s="322" t="s">
        <v>571</v>
      </c>
      <c r="E686">
        <v>1733200780</v>
      </c>
      <c r="G686">
        <f t="shared" si="10"/>
        <v>1731000520</v>
      </c>
    </row>
    <row r="687" spans="1:7" ht="14" x14ac:dyDescent="0.15">
      <c r="A687" s="322">
        <v>1731000521</v>
      </c>
      <c r="B687" s="322" t="s">
        <v>646</v>
      </c>
      <c r="E687" s="182">
        <v>1733300731</v>
      </c>
      <c r="G687">
        <f t="shared" si="10"/>
        <v>1731000521</v>
      </c>
    </row>
    <row r="688" spans="1:7" ht="14" x14ac:dyDescent="0.15">
      <c r="A688" s="322">
        <v>1731000522</v>
      </c>
      <c r="B688" s="322" t="s">
        <v>723</v>
      </c>
      <c r="E688" s="182"/>
      <c r="G688">
        <f t="shared" si="10"/>
        <v>1731000522</v>
      </c>
    </row>
    <row r="689" spans="1:7" ht="14" x14ac:dyDescent="0.15">
      <c r="A689" s="322">
        <v>1731000523</v>
      </c>
      <c r="B689" s="322" t="s">
        <v>724</v>
      </c>
      <c r="E689" s="182">
        <v>1741000750</v>
      </c>
      <c r="G689">
        <f t="shared" si="10"/>
        <v>1731000523</v>
      </c>
    </row>
    <row r="690" spans="1:7" ht="14" x14ac:dyDescent="0.15">
      <c r="A690" s="322">
        <v>1731000530</v>
      </c>
      <c r="B690" s="322" t="s">
        <v>2124</v>
      </c>
      <c r="E690">
        <v>1742000440</v>
      </c>
      <c r="G690">
        <f t="shared" si="10"/>
        <v>1731000530</v>
      </c>
    </row>
    <row r="691" spans="1:7" ht="14" x14ac:dyDescent="0.15">
      <c r="A691" s="322">
        <v>1731000540</v>
      </c>
      <c r="B691" s="322" t="s">
        <v>726</v>
      </c>
      <c r="E691">
        <v>1742000720</v>
      </c>
      <c r="G691" t="e">
        <f t="shared" si="10"/>
        <v>#N/A</v>
      </c>
    </row>
    <row r="692" spans="1:7" ht="14" x14ac:dyDescent="0.15">
      <c r="A692" s="322">
        <v>1731000550</v>
      </c>
      <c r="B692" s="322" t="s">
        <v>727</v>
      </c>
      <c r="E692">
        <v>1742000750</v>
      </c>
      <c r="G692">
        <f t="shared" si="10"/>
        <v>1731000550</v>
      </c>
    </row>
    <row r="693" spans="1:7" ht="14" x14ac:dyDescent="0.15">
      <c r="A693" s="322">
        <v>1731000560</v>
      </c>
      <c r="B693" s="322" t="s">
        <v>728</v>
      </c>
      <c r="E693">
        <v>1742000910</v>
      </c>
      <c r="G693">
        <f t="shared" si="10"/>
        <v>1731000560</v>
      </c>
    </row>
    <row r="694" spans="1:7" ht="14" x14ac:dyDescent="0.15">
      <c r="A694" s="322">
        <v>1731000570</v>
      </c>
      <c r="B694" s="322" t="s">
        <v>729</v>
      </c>
      <c r="E694">
        <v>1742000930</v>
      </c>
      <c r="G694">
        <f t="shared" si="10"/>
        <v>1731000570</v>
      </c>
    </row>
    <row r="695" spans="1:7" ht="14" x14ac:dyDescent="0.15">
      <c r="A695" s="322">
        <v>1731000580</v>
      </c>
      <c r="B695" s="322" t="s">
        <v>1235</v>
      </c>
      <c r="E695">
        <v>1743000110</v>
      </c>
      <c r="G695">
        <f t="shared" si="10"/>
        <v>1731000580</v>
      </c>
    </row>
    <row r="696" spans="1:7" ht="14" x14ac:dyDescent="0.15">
      <c r="A696" s="322">
        <v>1731000581</v>
      </c>
      <c r="B696" s="322" t="s">
        <v>1812</v>
      </c>
      <c r="E696">
        <v>1743000511</v>
      </c>
      <c r="G696">
        <f t="shared" si="10"/>
        <v>1731000581</v>
      </c>
    </row>
    <row r="697" spans="1:7" ht="14" x14ac:dyDescent="0.15">
      <c r="A697" s="322">
        <v>1731000750</v>
      </c>
      <c r="B697" s="322" t="s">
        <v>730</v>
      </c>
      <c r="E697">
        <v>1743000581</v>
      </c>
      <c r="G697">
        <f t="shared" si="10"/>
        <v>1731000750</v>
      </c>
    </row>
    <row r="698" spans="1:7" ht="14" x14ac:dyDescent="0.15">
      <c r="A698" s="322">
        <v>1731000780</v>
      </c>
      <c r="B698" s="322" t="s">
        <v>731</v>
      </c>
      <c r="E698">
        <v>1743000720</v>
      </c>
      <c r="G698">
        <f t="shared" si="10"/>
        <v>1731000780</v>
      </c>
    </row>
    <row r="699" spans="1:7" ht="14" x14ac:dyDescent="0.15">
      <c r="A699" s="322">
        <v>1731000910</v>
      </c>
      <c r="B699" s="322" t="s">
        <v>716</v>
      </c>
      <c r="E699">
        <v>1743000740</v>
      </c>
      <c r="G699">
        <f t="shared" si="10"/>
        <v>1731000910</v>
      </c>
    </row>
    <row r="700" spans="1:7" ht="14" x14ac:dyDescent="0.15">
      <c r="A700" s="322">
        <v>1731000930</v>
      </c>
      <c r="B700" s="322" t="s">
        <v>732</v>
      </c>
      <c r="E700">
        <v>1743000742</v>
      </c>
      <c r="G700">
        <f t="shared" si="10"/>
        <v>1731000930</v>
      </c>
    </row>
    <row r="701" spans="1:7" ht="14" x14ac:dyDescent="0.15">
      <c r="A701" s="322">
        <v>1731100530</v>
      </c>
      <c r="B701" s="322" t="s">
        <v>2125</v>
      </c>
      <c r="E701">
        <v>1743000750</v>
      </c>
      <c r="G701">
        <f t="shared" si="10"/>
        <v>1731100530</v>
      </c>
    </row>
    <row r="702" spans="1:7" ht="14" x14ac:dyDescent="0.15">
      <c r="A702" s="322">
        <v>1731100731</v>
      </c>
      <c r="B702" s="322" t="s">
        <v>117</v>
      </c>
      <c r="E702">
        <v>1743000751</v>
      </c>
      <c r="G702" t="e">
        <f t="shared" si="10"/>
        <v>#N/A</v>
      </c>
    </row>
    <row r="703" spans="1:7" ht="14" x14ac:dyDescent="0.15">
      <c r="A703" s="322">
        <v>1732000110</v>
      </c>
      <c r="B703" s="322" t="s">
        <v>528</v>
      </c>
      <c r="E703">
        <v>1743000770</v>
      </c>
      <c r="G703">
        <f t="shared" si="10"/>
        <v>1732000110</v>
      </c>
    </row>
    <row r="704" spans="1:7" ht="14" x14ac:dyDescent="0.15">
      <c r="A704" s="322">
        <v>1732000511</v>
      </c>
      <c r="B704" s="322" t="s">
        <v>721</v>
      </c>
      <c r="E704">
        <v>1743000780</v>
      </c>
      <c r="G704">
        <f t="shared" si="10"/>
        <v>1732000511</v>
      </c>
    </row>
    <row r="705" spans="1:7" ht="14" x14ac:dyDescent="0.15">
      <c r="A705" s="322">
        <v>1732000512</v>
      </c>
      <c r="B705" s="322" t="s">
        <v>1814</v>
      </c>
      <c r="E705">
        <v>1743001731</v>
      </c>
      <c r="G705">
        <f t="shared" si="10"/>
        <v>1732000512</v>
      </c>
    </row>
    <row r="706" spans="1:7" ht="14" x14ac:dyDescent="0.15">
      <c r="A706" s="322">
        <v>1732000530</v>
      </c>
      <c r="B706" s="322" t="s">
        <v>2126</v>
      </c>
      <c r="E706">
        <v>1743002731</v>
      </c>
      <c r="G706">
        <f t="shared" si="10"/>
        <v>1732000530</v>
      </c>
    </row>
    <row r="707" spans="1:7" ht="14" x14ac:dyDescent="0.15">
      <c r="A707" s="322">
        <v>1732000560</v>
      </c>
      <c r="B707" s="322" t="s">
        <v>728</v>
      </c>
      <c r="E707">
        <v>1743003731</v>
      </c>
      <c r="G707">
        <f t="shared" ref="G707:G770" si="11">VLOOKUP(A707,$E$2:$E$1373,1,FALSE)</f>
        <v>1732000560</v>
      </c>
    </row>
    <row r="708" spans="1:7" ht="14" x14ac:dyDescent="0.15">
      <c r="A708" s="322">
        <v>1732000581</v>
      </c>
      <c r="B708" s="322" t="s">
        <v>1816</v>
      </c>
      <c r="E708">
        <v>1743004731</v>
      </c>
      <c r="G708">
        <f t="shared" si="11"/>
        <v>1732000581</v>
      </c>
    </row>
    <row r="709" spans="1:7" ht="14" x14ac:dyDescent="0.15">
      <c r="A709" s="322">
        <v>1732000750</v>
      </c>
      <c r="B709" s="322" t="s">
        <v>730</v>
      </c>
      <c r="E709">
        <v>1743005731</v>
      </c>
      <c r="G709">
        <f t="shared" si="11"/>
        <v>1732000750</v>
      </c>
    </row>
    <row r="710" spans="1:7" ht="14" x14ac:dyDescent="0.15">
      <c r="A710" s="322">
        <v>1732000780</v>
      </c>
      <c r="B710" s="322" t="s">
        <v>731</v>
      </c>
      <c r="E710">
        <v>1743006731</v>
      </c>
      <c r="G710">
        <f t="shared" si="11"/>
        <v>1732000780</v>
      </c>
    </row>
    <row r="711" spans="1:7" ht="14" x14ac:dyDescent="0.15">
      <c r="A711" s="322">
        <v>1732000950</v>
      </c>
      <c r="B711" s="322" t="s">
        <v>735</v>
      </c>
      <c r="E711">
        <v>1743007530</v>
      </c>
      <c r="G711">
        <f t="shared" si="11"/>
        <v>1732000950</v>
      </c>
    </row>
    <row r="712" spans="1:7" ht="14" x14ac:dyDescent="0.15">
      <c r="A712" s="322">
        <v>1733100110</v>
      </c>
      <c r="B712" s="322" t="s">
        <v>529</v>
      </c>
      <c r="E712">
        <v>1743009731</v>
      </c>
      <c r="G712">
        <f t="shared" si="11"/>
        <v>1733100110</v>
      </c>
    </row>
    <row r="713" spans="1:7" ht="14" x14ac:dyDescent="0.15">
      <c r="A713" s="322">
        <v>1733100511</v>
      </c>
      <c r="B713" s="322" t="s">
        <v>1817</v>
      </c>
      <c r="E713">
        <v>1743200530</v>
      </c>
      <c r="G713">
        <f t="shared" si="11"/>
        <v>1733100511</v>
      </c>
    </row>
    <row r="714" spans="1:7" ht="14" x14ac:dyDescent="0.15">
      <c r="A714" s="322">
        <v>1733100531</v>
      </c>
      <c r="B714" s="322" t="s">
        <v>1818</v>
      </c>
      <c r="E714">
        <v>1744000910</v>
      </c>
      <c r="G714">
        <f t="shared" si="11"/>
        <v>1733100531</v>
      </c>
    </row>
    <row r="715" spans="1:7" ht="14" x14ac:dyDescent="0.15">
      <c r="A715" s="322">
        <v>1733100560</v>
      </c>
      <c r="B715" s="322" t="s">
        <v>728</v>
      </c>
      <c r="E715">
        <v>1744400521</v>
      </c>
      <c r="G715">
        <f t="shared" si="11"/>
        <v>1733100560</v>
      </c>
    </row>
    <row r="716" spans="1:7" ht="14" x14ac:dyDescent="0.15">
      <c r="A716" s="322">
        <v>1733100731</v>
      </c>
      <c r="B716" s="322" t="s">
        <v>2127</v>
      </c>
      <c r="E716">
        <v>1744400750</v>
      </c>
      <c r="G716">
        <f t="shared" si="11"/>
        <v>1733100731</v>
      </c>
    </row>
    <row r="717" spans="1:7" ht="14" x14ac:dyDescent="0.15">
      <c r="A717" s="322">
        <v>1733100780</v>
      </c>
      <c r="B717" s="322" t="s">
        <v>731</v>
      </c>
      <c r="E717">
        <v>1745000810</v>
      </c>
      <c r="G717">
        <f t="shared" si="11"/>
        <v>1733100780</v>
      </c>
    </row>
    <row r="718" spans="1:7" ht="14" x14ac:dyDescent="0.15">
      <c r="A718" s="322">
        <v>1733100930</v>
      </c>
      <c r="B718" s="322" t="s">
        <v>732</v>
      </c>
      <c r="E718">
        <v>1746000110</v>
      </c>
      <c r="G718">
        <f t="shared" si="11"/>
        <v>1733100930</v>
      </c>
    </row>
    <row r="719" spans="1:7" ht="14" x14ac:dyDescent="0.15">
      <c r="A719" s="322">
        <v>1733110530</v>
      </c>
      <c r="B719" s="322" t="s">
        <v>2128</v>
      </c>
      <c r="E719">
        <v>1746000210</v>
      </c>
      <c r="G719">
        <f t="shared" si="11"/>
        <v>1733110530</v>
      </c>
    </row>
    <row r="720" spans="1:7" ht="14" x14ac:dyDescent="0.15">
      <c r="A720" s="322">
        <v>1733200731</v>
      </c>
      <c r="B720" s="322" t="s">
        <v>1820</v>
      </c>
      <c r="E720">
        <v>1746000430</v>
      </c>
      <c r="G720">
        <f t="shared" si="11"/>
        <v>1733200731</v>
      </c>
    </row>
    <row r="721" spans="1:7" ht="14" x14ac:dyDescent="0.15">
      <c r="A721" s="322">
        <v>1733200780</v>
      </c>
      <c r="B721" s="322" t="s">
        <v>580</v>
      </c>
      <c r="E721">
        <v>1746000530</v>
      </c>
      <c r="G721">
        <f t="shared" si="11"/>
        <v>1733200780</v>
      </c>
    </row>
    <row r="722" spans="1:7" ht="14" x14ac:dyDescent="0.15">
      <c r="A722" s="322">
        <v>1733300731</v>
      </c>
      <c r="B722" s="322" t="s">
        <v>2129</v>
      </c>
      <c r="E722">
        <v>1746000720</v>
      </c>
      <c r="G722">
        <f t="shared" si="11"/>
        <v>1733300731</v>
      </c>
    </row>
    <row r="723" spans="1:7" ht="14" x14ac:dyDescent="0.15">
      <c r="A723" s="322">
        <v>1741000750</v>
      </c>
      <c r="B723" s="322" t="s">
        <v>736</v>
      </c>
      <c r="E723">
        <v>1746000731</v>
      </c>
      <c r="G723">
        <f t="shared" si="11"/>
        <v>1741000750</v>
      </c>
    </row>
    <row r="724" spans="1:7" ht="14" x14ac:dyDescent="0.15">
      <c r="A724" s="322">
        <v>1742000440</v>
      </c>
      <c r="B724" s="322" t="s">
        <v>558</v>
      </c>
      <c r="E724">
        <v>1746000740</v>
      </c>
      <c r="G724">
        <f t="shared" si="11"/>
        <v>1742000440</v>
      </c>
    </row>
    <row r="725" spans="1:7" ht="14" x14ac:dyDescent="0.15">
      <c r="A725" s="322">
        <v>1742000560</v>
      </c>
      <c r="B725" s="322" t="s">
        <v>728</v>
      </c>
      <c r="E725">
        <v>1746000750</v>
      </c>
      <c r="G725" t="e">
        <f t="shared" si="11"/>
        <v>#N/A</v>
      </c>
    </row>
    <row r="726" spans="1:7" ht="14" x14ac:dyDescent="0.15">
      <c r="A726" s="322">
        <v>1742000720</v>
      </c>
      <c r="B726" s="322" t="s">
        <v>689</v>
      </c>
      <c r="E726">
        <v>1746000751</v>
      </c>
      <c r="G726">
        <f t="shared" si="11"/>
        <v>1742000720</v>
      </c>
    </row>
    <row r="727" spans="1:7" ht="14" x14ac:dyDescent="0.15">
      <c r="A727" s="322">
        <v>1742000740</v>
      </c>
      <c r="B727" s="322" t="s">
        <v>737</v>
      </c>
      <c r="E727">
        <v>1746000752</v>
      </c>
      <c r="G727" t="e">
        <f t="shared" si="11"/>
        <v>#N/A</v>
      </c>
    </row>
    <row r="728" spans="1:7" ht="14" x14ac:dyDescent="0.15">
      <c r="A728" s="322">
        <v>1742000750</v>
      </c>
      <c r="B728" s="322" t="s">
        <v>714</v>
      </c>
      <c r="E728">
        <v>1746000754</v>
      </c>
      <c r="G728">
        <f t="shared" si="11"/>
        <v>1742000750</v>
      </c>
    </row>
    <row r="729" spans="1:7" ht="14" x14ac:dyDescent="0.15">
      <c r="A729" s="322">
        <v>1742000910</v>
      </c>
      <c r="B729" s="322" t="s">
        <v>738</v>
      </c>
      <c r="E729">
        <v>1746000780</v>
      </c>
      <c r="G729">
        <f t="shared" si="11"/>
        <v>1742000910</v>
      </c>
    </row>
    <row r="730" spans="1:7" ht="14" x14ac:dyDescent="0.15">
      <c r="A730" s="322">
        <v>1742000930</v>
      </c>
      <c r="B730" s="322" t="s">
        <v>739</v>
      </c>
      <c r="E730">
        <v>1746000931</v>
      </c>
      <c r="G730">
        <f t="shared" si="11"/>
        <v>1742000930</v>
      </c>
    </row>
    <row r="731" spans="1:7" ht="14" x14ac:dyDescent="0.15">
      <c r="A731" s="322">
        <v>1743000110</v>
      </c>
      <c r="B731" s="322" t="s">
        <v>523</v>
      </c>
      <c r="E731">
        <v>1746001530</v>
      </c>
      <c r="G731">
        <f t="shared" si="11"/>
        <v>1743000110</v>
      </c>
    </row>
    <row r="732" spans="1:7" ht="14" x14ac:dyDescent="0.15">
      <c r="A732" s="322">
        <v>1743000511</v>
      </c>
      <c r="B732" s="322" t="s">
        <v>1821</v>
      </c>
      <c r="E732">
        <v>1746001731</v>
      </c>
      <c r="G732">
        <f t="shared" si="11"/>
        <v>1743000511</v>
      </c>
    </row>
    <row r="733" spans="1:7" ht="14" x14ac:dyDescent="0.15">
      <c r="A733" s="322">
        <v>1743000581</v>
      </c>
      <c r="B733" s="322" t="s">
        <v>2130</v>
      </c>
      <c r="E733">
        <v>1746003731</v>
      </c>
      <c r="G733">
        <f t="shared" si="11"/>
        <v>1743000581</v>
      </c>
    </row>
    <row r="734" spans="1:7" ht="14" x14ac:dyDescent="0.15">
      <c r="A734" s="322">
        <v>1743000720</v>
      </c>
      <c r="B734" s="322" t="s">
        <v>826</v>
      </c>
      <c r="E734">
        <v>1746100110</v>
      </c>
      <c r="G734">
        <f t="shared" si="11"/>
        <v>1743000720</v>
      </c>
    </row>
    <row r="735" spans="1:7" ht="14" x14ac:dyDescent="0.15">
      <c r="A735" s="322">
        <v>1743000740</v>
      </c>
      <c r="B735" s="322" t="s">
        <v>737</v>
      </c>
      <c r="E735">
        <v>1746100210</v>
      </c>
      <c r="G735">
        <f t="shared" si="11"/>
        <v>1743000740</v>
      </c>
    </row>
    <row r="736" spans="1:7" ht="14" x14ac:dyDescent="0.15">
      <c r="A736" s="322">
        <v>1743000742</v>
      </c>
      <c r="B736" s="322" t="s">
        <v>1163</v>
      </c>
      <c r="E736">
        <v>1746100511</v>
      </c>
      <c r="G736">
        <f t="shared" si="11"/>
        <v>1743000742</v>
      </c>
    </row>
    <row r="737" spans="1:7" ht="14" x14ac:dyDescent="0.15">
      <c r="A737" s="322">
        <v>1743000750</v>
      </c>
      <c r="B737" s="322" t="s">
        <v>714</v>
      </c>
      <c r="E737">
        <v>1746100521</v>
      </c>
      <c r="G737">
        <f t="shared" si="11"/>
        <v>1743000750</v>
      </c>
    </row>
    <row r="738" spans="1:7" ht="14" x14ac:dyDescent="0.15">
      <c r="A738" s="322">
        <v>1743000751</v>
      </c>
      <c r="B738" s="322" t="s">
        <v>141</v>
      </c>
      <c r="E738">
        <v>1746100560</v>
      </c>
      <c r="G738">
        <f t="shared" si="11"/>
        <v>1743000751</v>
      </c>
    </row>
    <row r="739" spans="1:7" ht="14" x14ac:dyDescent="0.15">
      <c r="A739" s="322">
        <v>1743000770</v>
      </c>
      <c r="B739" s="322" t="s">
        <v>740</v>
      </c>
      <c r="E739">
        <v>1746100581</v>
      </c>
      <c r="G739">
        <f t="shared" si="11"/>
        <v>1743000770</v>
      </c>
    </row>
    <row r="740" spans="1:7" ht="14" x14ac:dyDescent="0.15">
      <c r="A740" s="322">
        <v>1743000780</v>
      </c>
      <c r="B740" s="322" t="s">
        <v>580</v>
      </c>
      <c r="E740">
        <v>1746100720</v>
      </c>
      <c r="G740">
        <f t="shared" si="11"/>
        <v>1743000780</v>
      </c>
    </row>
    <row r="741" spans="1:7" ht="14" x14ac:dyDescent="0.15">
      <c r="A741" s="322">
        <v>1743000910</v>
      </c>
      <c r="B741" s="322" t="s">
        <v>741</v>
      </c>
      <c r="E741">
        <v>1746100731</v>
      </c>
      <c r="G741" t="e">
        <f t="shared" si="11"/>
        <v>#N/A</v>
      </c>
    </row>
    <row r="742" spans="1:7" ht="14" x14ac:dyDescent="0.15">
      <c r="A742" s="322">
        <v>1743000981</v>
      </c>
      <c r="B742" s="322" t="s">
        <v>74</v>
      </c>
      <c r="E742">
        <v>1746100740</v>
      </c>
      <c r="G742" t="e">
        <f t="shared" si="11"/>
        <v>#N/A</v>
      </c>
    </row>
    <row r="743" spans="1:7" ht="14" x14ac:dyDescent="0.15">
      <c r="A743" s="322">
        <v>1743001731</v>
      </c>
      <c r="B743" s="322" t="s">
        <v>2131</v>
      </c>
      <c r="E743">
        <v>1746100750</v>
      </c>
      <c r="G743">
        <f t="shared" si="11"/>
        <v>1743001731</v>
      </c>
    </row>
    <row r="744" spans="1:7" ht="14" x14ac:dyDescent="0.15">
      <c r="A744" s="322">
        <v>1743002731</v>
      </c>
      <c r="B744" s="322" t="s">
        <v>2132</v>
      </c>
      <c r="E744">
        <v>1746100751</v>
      </c>
      <c r="G744">
        <f t="shared" si="11"/>
        <v>1743002731</v>
      </c>
    </row>
    <row r="745" spans="1:7" ht="14" x14ac:dyDescent="0.15">
      <c r="A745" s="322">
        <v>1743003731</v>
      </c>
      <c r="B745" s="322" t="s">
        <v>744</v>
      </c>
      <c r="E745">
        <v>1746100752</v>
      </c>
      <c r="G745">
        <f t="shared" si="11"/>
        <v>1743003731</v>
      </c>
    </row>
    <row r="746" spans="1:7" ht="14" x14ac:dyDescent="0.15">
      <c r="A746" s="322">
        <v>1743004731</v>
      </c>
      <c r="B746" s="322" t="s">
        <v>745</v>
      </c>
      <c r="E746">
        <v>1746100780</v>
      </c>
      <c r="G746">
        <f t="shared" si="11"/>
        <v>1743004731</v>
      </c>
    </row>
    <row r="747" spans="1:7" ht="14" x14ac:dyDescent="0.15">
      <c r="A747" s="322">
        <v>1743005731</v>
      </c>
      <c r="B747" s="322" t="s">
        <v>2133</v>
      </c>
      <c r="E747">
        <v>1746101731</v>
      </c>
      <c r="G747">
        <f t="shared" si="11"/>
        <v>1743005731</v>
      </c>
    </row>
    <row r="748" spans="1:7" ht="14" x14ac:dyDescent="0.15">
      <c r="A748" s="322">
        <v>1743006731</v>
      </c>
      <c r="B748" s="322" t="s">
        <v>2134</v>
      </c>
      <c r="E748">
        <v>1746102731</v>
      </c>
      <c r="G748">
        <f t="shared" si="11"/>
        <v>1743006731</v>
      </c>
    </row>
    <row r="749" spans="1:7" ht="14" x14ac:dyDescent="0.15">
      <c r="A749" s="322">
        <v>1743007530</v>
      </c>
      <c r="B749" s="322" t="s">
        <v>2135</v>
      </c>
      <c r="E749">
        <v>1746103731</v>
      </c>
      <c r="G749">
        <f t="shared" si="11"/>
        <v>1743007530</v>
      </c>
    </row>
    <row r="750" spans="1:7" ht="14" x14ac:dyDescent="0.15">
      <c r="A750" s="322">
        <v>1743007731</v>
      </c>
      <c r="B750" s="322" t="s">
        <v>1511</v>
      </c>
      <c r="E750">
        <v>1746104731</v>
      </c>
      <c r="G750" t="e">
        <f t="shared" si="11"/>
        <v>#N/A</v>
      </c>
    </row>
    <row r="751" spans="1:7" ht="14" x14ac:dyDescent="0.15">
      <c r="A751" s="322">
        <v>1743008530</v>
      </c>
      <c r="B751" s="322" t="s">
        <v>1510</v>
      </c>
      <c r="E751">
        <v>1746200530</v>
      </c>
      <c r="G751" t="e">
        <f t="shared" si="11"/>
        <v>#N/A</v>
      </c>
    </row>
    <row r="752" spans="1:7" ht="14" x14ac:dyDescent="0.15">
      <c r="A752" s="322">
        <v>1743009731</v>
      </c>
      <c r="B752" s="322" t="s">
        <v>2136</v>
      </c>
      <c r="E752">
        <v>1746300731</v>
      </c>
      <c r="G752">
        <f t="shared" si="11"/>
        <v>1743009731</v>
      </c>
    </row>
    <row r="753" spans="1:7" ht="14" x14ac:dyDescent="0.15">
      <c r="A753" s="322">
        <v>1743200530</v>
      </c>
      <c r="B753" s="322" t="s">
        <v>2137</v>
      </c>
      <c r="E753">
        <v>1746400731</v>
      </c>
      <c r="G753">
        <f t="shared" si="11"/>
        <v>1743200530</v>
      </c>
    </row>
    <row r="754" spans="1:7" ht="14" x14ac:dyDescent="0.15">
      <c r="A754" s="322">
        <v>1744000910</v>
      </c>
      <c r="B754" s="322" t="s">
        <v>738</v>
      </c>
      <c r="E754">
        <v>1746500731</v>
      </c>
      <c r="G754">
        <f t="shared" si="11"/>
        <v>1744000910</v>
      </c>
    </row>
    <row r="755" spans="1:7" ht="14" x14ac:dyDescent="0.15">
      <c r="A755" s="322">
        <v>1744400521</v>
      </c>
      <c r="B755" s="322" t="s">
        <v>646</v>
      </c>
      <c r="E755">
        <v>1747000731</v>
      </c>
      <c r="G755">
        <f t="shared" si="11"/>
        <v>1744400521</v>
      </c>
    </row>
    <row r="756" spans="1:7" ht="14" x14ac:dyDescent="0.15">
      <c r="A756" s="322">
        <v>1744400522</v>
      </c>
      <c r="B756" s="322" t="s">
        <v>748</v>
      </c>
      <c r="E756">
        <v>1747200110</v>
      </c>
      <c r="G756" t="e">
        <f t="shared" si="11"/>
        <v>#N/A</v>
      </c>
    </row>
    <row r="757" spans="1:7" ht="14" x14ac:dyDescent="0.15">
      <c r="A757" s="322">
        <v>1744400750</v>
      </c>
      <c r="B757" s="322" t="s">
        <v>749</v>
      </c>
      <c r="E757">
        <v>1747200530</v>
      </c>
      <c r="G757">
        <f t="shared" si="11"/>
        <v>1744400750</v>
      </c>
    </row>
    <row r="758" spans="1:7" ht="14" x14ac:dyDescent="0.15">
      <c r="A758" s="322">
        <v>1745000810</v>
      </c>
      <c r="B758" s="322" t="s">
        <v>750</v>
      </c>
      <c r="E758">
        <v>1747200780</v>
      </c>
      <c r="G758">
        <f t="shared" si="11"/>
        <v>1745000810</v>
      </c>
    </row>
    <row r="759" spans="1:7" ht="14" x14ac:dyDescent="0.15">
      <c r="A759" s="322">
        <v>1746000110</v>
      </c>
      <c r="B759" s="322" t="s">
        <v>523</v>
      </c>
      <c r="E759">
        <v>1747201731</v>
      </c>
      <c r="G759">
        <f t="shared" si="11"/>
        <v>1746000110</v>
      </c>
    </row>
    <row r="760" spans="1:7" ht="14" x14ac:dyDescent="0.15">
      <c r="A760" s="322">
        <v>1746000210</v>
      </c>
      <c r="B760" s="322" t="s">
        <v>920</v>
      </c>
      <c r="E760">
        <v>1747202731</v>
      </c>
      <c r="G760">
        <f t="shared" si="11"/>
        <v>1746000210</v>
      </c>
    </row>
    <row r="761" spans="1:7" ht="14" x14ac:dyDescent="0.15">
      <c r="A761" s="322">
        <v>1746000430</v>
      </c>
      <c r="B761" s="322" t="s">
        <v>751</v>
      </c>
      <c r="E761">
        <v>1747203731</v>
      </c>
      <c r="G761">
        <f t="shared" si="11"/>
        <v>1746000430</v>
      </c>
    </row>
    <row r="762" spans="1:7" ht="14" x14ac:dyDescent="0.15">
      <c r="A762" s="322">
        <v>1746000530</v>
      </c>
      <c r="B762" s="322" t="s">
        <v>2138</v>
      </c>
      <c r="E762">
        <v>1747220530</v>
      </c>
      <c r="G762">
        <f t="shared" si="11"/>
        <v>1746000530</v>
      </c>
    </row>
    <row r="763" spans="1:7" ht="14" x14ac:dyDescent="0.15">
      <c r="A763" s="322">
        <v>1746000720</v>
      </c>
      <c r="B763" s="322" t="s">
        <v>752</v>
      </c>
      <c r="E763">
        <v>1747300731</v>
      </c>
      <c r="G763">
        <f t="shared" si="11"/>
        <v>1746000720</v>
      </c>
    </row>
    <row r="764" spans="1:7" ht="14" x14ac:dyDescent="0.15">
      <c r="A764" s="322">
        <v>1746000731</v>
      </c>
      <c r="B764" s="322" t="s">
        <v>2139</v>
      </c>
      <c r="E764">
        <v>1747400731</v>
      </c>
      <c r="G764">
        <f t="shared" si="11"/>
        <v>1746000731</v>
      </c>
    </row>
    <row r="765" spans="1:7" ht="14" x14ac:dyDescent="0.15">
      <c r="A765" s="322">
        <v>1746000732</v>
      </c>
      <c r="B765" s="322" t="s">
        <v>754</v>
      </c>
      <c r="E765">
        <v>1749000110</v>
      </c>
      <c r="G765" t="e">
        <f t="shared" si="11"/>
        <v>#N/A</v>
      </c>
    </row>
    <row r="766" spans="1:7" ht="14" x14ac:dyDescent="0.15">
      <c r="A766" s="322">
        <v>1746000740</v>
      </c>
      <c r="B766" s="322" t="s">
        <v>755</v>
      </c>
      <c r="E766">
        <v>1749000750</v>
      </c>
      <c r="G766">
        <f t="shared" si="11"/>
        <v>1746000740</v>
      </c>
    </row>
    <row r="767" spans="1:7" ht="14" x14ac:dyDescent="0.15">
      <c r="A767" s="322">
        <v>1746000750</v>
      </c>
      <c r="B767" s="322" t="s">
        <v>756</v>
      </c>
      <c r="E767" s="182"/>
      <c r="G767">
        <f t="shared" si="11"/>
        <v>1746000750</v>
      </c>
    </row>
    <row r="768" spans="1:7" ht="14" x14ac:dyDescent="0.15">
      <c r="A768" s="322">
        <v>1746000751</v>
      </c>
      <c r="B768" s="322" t="s">
        <v>757</v>
      </c>
      <c r="E768" s="182"/>
      <c r="G768">
        <f t="shared" si="11"/>
        <v>1746000751</v>
      </c>
    </row>
    <row r="769" spans="1:7" ht="14" x14ac:dyDescent="0.15">
      <c r="A769" s="322">
        <v>1746000752</v>
      </c>
      <c r="B769" s="322" t="s">
        <v>758</v>
      </c>
      <c r="E769">
        <v>1751000530</v>
      </c>
      <c r="G769">
        <f t="shared" si="11"/>
        <v>1746000752</v>
      </c>
    </row>
    <row r="770" spans="1:7" ht="14" x14ac:dyDescent="0.15">
      <c r="A770" s="322">
        <v>1746000753</v>
      </c>
      <c r="B770" s="322" t="s">
        <v>144</v>
      </c>
      <c r="E770">
        <v>1751000750</v>
      </c>
      <c r="G770" t="e">
        <f t="shared" si="11"/>
        <v>#N/A</v>
      </c>
    </row>
    <row r="771" spans="1:7" ht="14" x14ac:dyDescent="0.15">
      <c r="A771" s="322">
        <v>1746000754</v>
      </c>
      <c r="B771" s="322" t="s">
        <v>145</v>
      </c>
      <c r="E771">
        <v>1751000780</v>
      </c>
      <c r="G771">
        <f t="shared" ref="G771:G834" si="12">VLOOKUP(A771,$E$2:$E$1373,1,FALSE)</f>
        <v>1746000754</v>
      </c>
    </row>
    <row r="772" spans="1:7" ht="14" x14ac:dyDescent="0.15">
      <c r="A772" s="322">
        <v>1746000770</v>
      </c>
      <c r="B772" s="322" t="s">
        <v>759</v>
      </c>
      <c r="E772">
        <v>1751001731</v>
      </c>
      <c r="G772" t="e">
        <f t="shared" si="12"/>
        <v>#N/A</v>
      </c>
    </row>
    <row r="773" spans="1:7" ht="14" x14ac:dyDescent="0.15">
      <c r="A773" s="322">
        <v>1746000780</v>
      </c>
      <c r="B773" s="322" t="s">
        <v>760</v>
      </c>
      <c r="E773">
        <v>1751001780</v>
      </c>
      <c r="G773">
        <f t="shared" si="12"/>
        <v>1746000780</v>
      </c>
    </row>
    <row r="774" spans="1:7" ht="14" x14ac:dyDescent="0.15">
      <c r="A774" s="322">
        <v>1746000931</v>
      </c>
      <c r="B774" s="322" t="s">
        <v>761</v>
      </c>
      <c r="E774">
        <v>1751002731</v>
      </c>
      <c r="G774">
        <f t="shared" si="12"/>
        <v>1746000931</v>
      </c>
    </row>
    <row r="775" spans="1:7" ht="14" x14ac:dyDescent="0.15">
      <c r="A775" s="322">
        <v>1746001530</v>
      </c>
      <c r="B775" s="322" t="s">
        <v>1824</v>
      </c>
      <c r="E775">
        <v>1751002780</v>
      </c>
      <c r="G775">
        <f t="shared" si="12"/>
        <v>1746001530</v>
      </c>
    </row>
    <row r="776" spans="1:7" ht="14" x14ac:dyDescent="0.15">
      <c r="A776" s="322">
        <v>1746001731</v>
      </c>
      <c r="B776" s="322" t="s">
        <v>1612</v>
      </c>
      <c r="E776">
        <v>1751003731</v>
      </c>
      <c r="G776">
        <f t="shared" si="12"/>
        <v>1746001731</v>
      </c>
    </row>
    <row r="777" spans="1:7" ht="14" x14ac:dyDescent="0.15">
      <c r="A777" s="322">
        <v>1746003731</v>
      </c>
      <c r="B777" s="322" t="s">
        <v>2140</v>
      </c>
      <c r="E777">
        <v>1751003780</v>
      </c>
      <c r="G777">
        <f t="shared" si="12"/>
        <v>1746003731</v>
      </c>
    </row>
    <row r="778" spans="1:7" ht="14" x14ac:dyDescent="0.15">
      <c r="A778" s="322">
        <v>1746100110</v>
      </c>
      <c r="B778" s="322" t="s">
        <v>530</v>
      </c>
      <c r="E778">
        <v>1751003781</v>
      </c>
      <c r="G778">
        <f t="shared" si="12"/>
        <v>1746100110</v>
      </c>
    </row>
    <row r="779" spans="1:7" ht="14" x14ac:dyDescent="0.15">
      <c r="A779" s="322">
        <v>1746100210</v>
      </c>
      <c r="B779" s="322" t="s">
        <v>249</v>
      </c>
      <c r="E779">
        <v>1751004731</v>
      </c>
      <c r="G779">
        <f t="shared" si="12"/>
        <v>1746100210</v>
      </c>
    </row>
    <row r="780" spans="1:7" ht="14" x14ac:dyDescent="0.15">
      <c r="A780" s="322">
        <v>1746100511</v>
      </c>
      <c r="B780" s="322" t="s">
        <v>1934</v>
      </c>
      <c r="E780">
        <v>1751004780</v>
      </c>
      <c r="G780">
        <f t="shared" si="12"/>
        <v>1746100511</v>
      </c>
    </row>
    <row r="781" spans="1:7" ht="14" x14ac:dyDescent="0.15">
      <c r="A781" s="322">
        <v>1746100521</v>
      </c>
      <c r="B781" s="322" t="s">
        <v>1613</v>
      </c>
      <c r="E781">
        <v>1751150811</v>
      </c>
      <c r="G781">
        <f t="shared" si="12"/>
        <v>1746100521</v>
      </c>
    </row>
    <row r="782" spans="1:7" ht="14" x14ac:dyDescent="0.15">
      <c r="A782" s="322">
        <v>1746100560</v>
      </c>
      <c r="B782" s="322" t="s">
        <v>762</v>
      </c>
      <c r="E782">
        <v>1751150812</v>
      </c>
      <c r="G782">
        <f t="shared" si="12"/>
        <v>1746100560</v>
      </c>
    </row>
    <row r="783" spans="1:7" ht="14" x14ac:dyDescent="0.15">
      <c r="A783" s="322">
        <v>1746100581</v>
      </c>
      <c r="B783" s="322" t="s">
        <v>1935</v>
      </c>
      <c r="E783">
        <v>1751160780</v>
      </c>
      <c r="G783">
        <f t="shared" si="12"/>
        <v>1746100581</v>
      </c>
    </row>
    <row r="784" spans="1:7" ht="14" x14ac:dyDescent="0.15">
      <c r="A784" s="322">
        <v>1746100720</v>
      </c>
      <c r="B784" s="322" t="s">
        <v>763</v>
      </c>
      <c r="E784">
        <v>1751160781</v>
      </c>
      <c r="G784">
        <f t="shared" si="12"/>
        <v>1746100720</v>
      </c>
    </row>
    <row r="785" spans="1:7" ht="14" x14ac:dyDescent="0.15">
      <c r="A785" s="322">
        <v>1746100731</v>
      </c>
      <c r="B785" s="322" t="s">
        <v>2141</v>
      </c>
      <c r="E785">
        <v>1752001731</v>
      </c>
      <c r="G785">
        <f t="shared" si="12"/>
        <v>1746100731</v>
      </c>
    </row>
    <row r="786" spans="1:7" ht="14" x14ac:dyDescent="0.15">
      <c r="A786" s="322">
        <v>1746100732</v>
      </c>
      <c r="B786" s="322" t="s">
        <v>1508</v>
      </c>
      <c r="E786">
        <v>1752100810</v>
      </c>
      <c r="G786" t="e">
        <f t="shared" si="12"/>
        <v>#N/A</v>
      </c>
    </row>
    <row r="787" spans="1:7" ht="14" x14ac:dyDescent="0.15">
      <c r="A787" s="322">
        <v>1746100733</v>
      </c>
      <c r="B787" s="322" t="s">
        <v>1507</v>
      </c>
      <c r="E787" s="182"/>
      <c r="G787" t="e">
        <f t="shared" si="12"/>
        <v>#N/A</v>
      </c>
    </row>
    <row r="788" spans="1:7" ht="14" x14ac:dyDescent="0.15">
      <c r="A788" s="322">
        <v>1746100740</v>
      </c>
      <c r="B788" s="322" t="s">
        <v>767</v>
      </c>
      <c r="E788" s="182"/>
      <c r="G788">
        <f t="shared" si="12"/>
        <v>1746100740</v>
      </c>
    </row>
    <row r="789" spans="1:7" ht="14" x14ac:dyDescent="0.15">
      <c r="A789" s="322">
        <v>1746100750</v>
      </c>
      <c r="B789" s="322" t="s">
        <v>1152</v>
      </c>
      <c r="E789">
        <v>1760000910</v>
      </c>
      <c r="G789">
        <f t="shared" si="12"/>
        <v>1746100750</v>
      </c>
    </row>
    <row r="790" spans="1:7" ht="14" x14ac:dyDescent="0.15">
      <c r="A790" s="322">
        <v>1746100751</v>
      </c>
      <c r="B790" s="322" t="s">
        <v>1614</v>
      </c>
      <c r="E790">
        <v>1761000110</v>
      </c>
      <c r="G790">
        <f t="shared" si="12"/>
        <v>1746100751</v>
      </c>
    </row>
    <row r="791" spans="1:7" ht="14" x14ac:dyDescent="0.15">
      <c r="A791" s="322">
        <v>1746100752</v>
      </c>
      <c r="B791" s="322" t="s">
        <v>1664</v>
      </c>
      <c r="E791">
        <v>1761000210</v>
      </c>
      <c r="G791">
        <f t="shared" si="12"/>
        <v>1746100752</v>
      </c>
    </row>
    <row r="792" spans="1:7" ht="14" x14ac:dyDescent="0.15">
      <c r="A792" s="322">
        <v>1746100780</v>
      </c>
      <c r="B792" s="322" t="s">
        <v>768</v>
      </c>
      <c r="E792">
        <v>1761000420</v>
      </c>
      <c r="G792">
        <f t="shared" si="12"/>
        <v>1746100780</v>
      </c>
    </row>
    <row r="793" spans="1:7" ht="14" x14ac:dyDescent="0.15">
      <c r="A793" s="322">
        <v>1746101731</v>
      </c>
      <c r="B793" s="322" t="s">
        <v>2142</v>
      </c>
      <c r="E793">
        <v>1761000470</v>
      </c>
      <c r="G793">
        <f t="shared" si="12"/>
        <v>1746101731</v>
      </c>
    </row>
    <row r="794" spans="1:7" ht="14" x14ac:dyDescent="0.15">
      <c r="A794" s="322">
        <v>1746102731</v>
      </c>
      <c r="B794" s="322" t="s">
        <v>2143</v>
      </c>
      <c r="E794">
        <v>1761000511</v>
      </c>
      <c r="G794">
        <f t="shared" si="12"/>
        <v>1746102731</v>
      </c>
    </row>
    <row r="795" spans="1:7" ht="14" x14ac:dyDescent="0.15">
      <c r="A795" s="322">
        <v>1746103731</v>
      </c>
      <c r="B795" s="322" t="s">
        <v>1504</v>
      </c>
      <c r="E795">
        <v>1761000540</v>
      </c>
      <c r="G795">
        <f t="shared" si="12"/>
        <v>1746103731</v>
      </c>
    </row>
    <row r="796" spans="1:7" ht="14" x14ac:dyDescent="0.15">
      <c r="A796" s="322">
        <v>1746104731</v>
      </c>
      <c r="B796" s="322" t="s">
        <v>2144</v>
      </c>
      <c r="E796">
        <v>1761000560</v>
      </c>
      <c r="G796">
        <f t="shared" si="12"/>
        <v>1746104731</v>
      </c>
    </row>
    <row r="797" spans="1:7" ht="14" x14ac:dyDescent="0.15">
      <c r="A797" s="322">
        <v>1746200530</v>
      </c>
      <c r="B797" s="322" t="s">
        <v>2145</v>
      </c>
      <c r="E797">
        <v>1761000570</v>
      </c>
      <c r="G797">
        <f t="shared" si="12"/>
        <v>1746200530</v>
      </c>
    </row>
    <row r="798" spans="1:7" ht="14" x14ac:dyDescent="0.15">
      <c r="A798" s="322">
        <v>1746200731</v>
      </c>
      <c r="B798" s="322" t="s">
        <v>119</v>
      </c>
      <c r="E798">
        <v>1761000581</v>
      </c>
      <c r="G798" t="e">
        <f t="shared" si="12"/>
        <v>#N/A</v>
      </c>
    </row>
    <row r="799" spans="1:7" ht="14" x14ac:dyDescent="0.15">
      <c r="A799" s="322">
        <v>1746300731</v>
      </c>
      <c r="B799" s="322" t="s">
        <v>2146</v>
      </c>
      <c r="E799">
        <v>1761000720</v>
      </c>
      <c r="G799">
        <f t="shared" si="12"/>
        <v>1746300731</v>
      </c>
    </row>
    <row r="800" spans="1:7" ht="14" x14ac:dyDescent="0.15">
      <c r="A800" s="322">
        <v>1746400731</v>
      </c>
      <c r="B800" s="322" t="s">
        <v>2147</v>
      </c>
      <c r="E800">
        <v>1761000930</v>
      </c>
      <c r="G800">
        <f t="shared" si="12"/>
        <v>1746400731</v>
      </c>
    </row>
    <row r="801" spans="1:7" ht="14" x14ac:dyDescent="0.15">
      <c r="A801" s="322">
        <v>1746500731</v>
      </c>
      <c r="B801" s="322" t="s">
        <v>2148</v>
      </c>
      <c r="E801">
        <v>1764000110</v>
      </c>
      <c r="G801">
        <f t="shared" si="12"/>
        <v>1746500731</v>
      </c>
    </row>
    <row r="802" spans="1:7" ht="14" x14ac:dyDescent="0.15">
      <c r="A802" s="322">
        <v>1747000731</v>
      </c>
      <c r="B802" s="322" t="s">
        <v>1616</v>
      </c>
      <c r="E802">
        <v>1764000750</v>
      </c>
      <c r="G802">
        <f t="shared" si="12"/>
        <v>1747000731</v>
      </c>
    </row>
    <row r="803" spans="1:7" ht="14" x14ac:dyDescent="0.15">
      <c r="A803" s="322">
        <v>1747200110</v>
      </c>
      <c r="B803" s="322" t="s">
        <v>531</v>
      </c>
      <c r="E803">
        <v>1764000783</v>
      </c>
      <c r="G803">
        <f t="shared" si="12"/>
        <v>1747200110</v>
      </c>
    </row>
    <row r="804" spans="1:7" ht="14" x14ac:dyDescent="0.15">
      <c r="A804" s="322">
        <v>1747200530</v>
      </c>
      <c r="B804" s="322" t="s">
        <v>2149</v>
      </c>
      <c r="E804">
        <v>1765100810</v>
      </c>
      <c r="G804">
        <f t="shared" si="12"/>
        <v>1747200530</v>
      </c>
    </row>
    <row r="805" spans="1:7" ht="14" x14ac:dyDescent="0.15">
      <c r="A805" s="322">
        <v>1747200780</v>
      </c>
      <c r="B805" s="322" t="s">
        <v>773</v>
      </c>
      <c r="E805">
        <v>1766000810</v>
      </c>
      <c r="G805">
        <f t="shared" si="12"/>
        <v>1747200780</v>
      </c>
    </row>
    <row r="806" spans="1:7" ht="14" x14ac:dyDescent="0.15">
      <c r="A806" s="322">
        <v>1747201731</v>
      </c>
      <c r="B806" s="322" t="s">
        <v>1696</v>
      </c>
      <c r="E806">
        <v>1767000440</v>
      </c>
      <c r="G806">
        <f t="shared" si="12"/>
        <v>1747201731</v>
      </c>
    </row>
    <row r="807" spans="1:7" ht="14" x14ac:dyDescent="0.15">
      <c r="A807" s="322">
        <v>1747202731</v>
      </c>
      <c r="B807" s="322" t="s">
        <v>2150</v>
      </c>
      <c r="E807">
        <v>1769000781</v>
      </c>
      <c r="G807">
        <f t="shared" si="12"/>
        <v>1747202731</v>
      </c>
    </row>
    <row r="808" spans="1:7" ht="14" x14ac:dyDescent="0.15">
      <c r="A808" s="322">
        <v>1747203731</v>
      </c>
      <c r="B808" s="322" t="s">
        <v>1835</v>
      </c>
      <c r="E808">
        <v>1769000785</v>
      </c>
      <c r="G808">
        <f t="shared" si="12"/>
        <v>1747203731</v>
      </c>
    </row>
    <row r="809" spans="1:7" ht="14" x14ac:dyDescent="0.15">
      <c r="A809" s="322">
        <v>1747220530</v>
      </c>
      <c r="B809" s="322" t="s">
        <v>1501</v>
      </c>
      <c r="E809">
        <v>1769000810</v>
      </c>
      <c r="G809">
        <f t="shared" si="12"/>
        <v>1747220530</v>
      </c>
    </row>
    <row r="810" spans="1:7" ht="14" x14ac:dyDescent="0.15">
      <c r="A810" s="322">
        <v>1747220731</v>
      </c>
      <c r="B810" s="322" t="s">
        <v>1501</v>
      </c>
      <c r="E810" s="182"/>
      <c r="G810" t="e">
        <f t="shared" si="12"/>
        <v>#N/A</v>
      </c>
    </row>
    <row r="811" spans="1:7" ht="14" x14ac:dyDescent="0.15">
      <c r="A811" s="322">
        <v>1747300731</v>
      </c>
      <c r="B811" s="322" t="s">
        <v>1836</v>
      </c>
      <c r="E811" s="182"/>
      <c r="G811">
        <f t="shared" si="12"/>
        <v>1747300731</v>
      </c>
    </row>
    <row r="812" spans="1:7" ht="14" x14ac:dyDescent="0.15">
      <c r="A812" s="322">
        <v>1747400731</v>
      </c>
      <c r="B812" s="322" t="s">
        <v>1837</v>
      </c>
      <c r="E812">
        <v>1772000430</v>
      </c>
      <c r="G812">
        <f t="shared" si="12"/>
        <v>1747400731</v>
      </c>
    </row>
    <row r="813" spans="1:7" ht="14" x14ac:dyDescent="0.15">
      <c r="A813" s="322">
        <v>1749000110</v>
      </c>
      <c r="B813" s="322" t="s">
        <v>523</v>
      </c>
      <c r="E813">
        <v>1772000511</v>
      </c>
      <c r="G813">
        <f t="shared" si="12"/>
        <v>1749000110</v>
      </c>
    </row>
    <row r="814" spans="1:7" ht="14" x14ac:dyDescent="0.15">
      <c r="A814" s="322">
        <v>1749000731</v>
      </c>
      <c r="B814" s="322" t="s">
        <v>1500</v>
      </c>
      <c r="E814">
        <v>1772000530</v>
      </c>
      <c r="G814" t="e">
        <f t="shared" si="12"/>
        <v>#N/A</v>
      </c>
    </row>
    <row r="815" spans="1:7" ht="14" x14ac:dyDescent="0.15">
      <c r="A815" s="322">
        <v>1749000750</v>
      </c>
      <c r="B815" s="322" t="s">
        <v>714</v>
      </c>
      <c r="E815">
        <v>1772000550</v>
      </c>
      <c r="G815">
        <f t="shared" si="12"/>
        <v>1749000750</v>
      </c>
    </row>
    <row r="816" spans="1:7" ht="14" x14ac:dyDescent="0.15">
      <c r="A816" s="322">
        <v>1749000981</v>
      </c>
      <c r="B816" s="322" t="s">
        <v>74</v>
      </c>
      <c r="E816">
        <v>1772000561</v>
      </c>
      <c r="G816" t="e">
        <f t="shared" si="12"/>
        <v>#N/A</v>
      </c>
    </row>
    <row r="817" spans="1:7" ht="14" x14ac:dyDescent="0.15">
      <c r="A817" s="322">
        <v>1751000110</v>
      </c>
      <c r="B817" s="322" t="s">
        <v>919</v>
      </c>
      <c r="E817">
        <v>1772000581</v>
      </c>
      <c r="G817" t="e">
        <f t="shared" si="12"/>
        <v>#N/A</v>
      </c>
    </row>
    <row r="818" spans="1:7" ht="14" x14ac:dyDescent="0.15">
      <c r="A818" s="322">
        <v>1751000530</v>
      </c>
      <c r="B818" s="322" t="s">
        <v>2151</v>
      </c>
      <c r="E818">
        <v>1772000731</v>
      </c>
      <c r="G818">
        <f t="shared" si="12"/>
        <v>1751000530</v>
      </c>
    </row>
    <row r="819" spans="1:7" ht="14" x14ac:dyDescent="0.15">
      <c r="A819" s="322">
        <v>1751000750</v>
      </c>
      <c r="B819" s="322" t="s">
        <v>1578</v>
      </c>
      <c r="E819">
        <v>1772000750</v>
      </c>
      <c r="G819">
        <f t="shared" si="12"/>
        <v>1751000750</v>
      </c>
    </row>
    <row r="820" spans="1:7" ht="14" x14ac:dyDescent="0.15">
      <c r="A820" s="322">
        <v>1751000780</v>
      </c>
      <c r="B820" s="322" t="s">
        <v>776</v>
      </c>
      <c r="E820">
        <v>1772000780</v>
      </c>
      <c r="G820">
        <f t="shared" si="12"/>
        <v>1751000780</v>
      </c>
    </row>
    <row r="821" spans="1:7" ht="14" x14ac:dyDescent="0.15">
      <c r="A821" s="322">
        <v>1751001731</v>
      </c>
      <c r="B821" s="322" t="s">
        <v>1498</v>
      </c>
      <c r="E821">
        <v>1772000910</v>
      </c>
      <c r="G821">
        <f t="shared" si="12"/>
        <v>1751001731</v>
      </c>
    </row>
    <row r="822" spans="1:7" ht="14" x14ac:dyDescent="0.15">
      <c r="A822" s="322">
        <v>1751001780</v>
      </c>
      <c r="B822" s="322" t="s">
        <v>778</v>
      </c>
      <c r="E822" s="182"/>
      <c r="G822">
        <f t="shared" si="12"/>
        <v>1751001780</v>
      </c>
    </row>
    <row r="823" spans="1:7" ht="14" x14ac:dyDescent="0.15">
      <c r="A823" s="322">
        <v>1751002731</v>
      </c>
      <c r="B823" s="322" t="s">
        <v>2152</v>
      </c>
      <c r="E823">
        <v>1781000110</v>
      </c>
      <c r="G823">
        <f t="shared" si="12"/>
        <v>1751002731</v>
      </c>
    </row>
    <row r="824" spans="1:7" ht="14" x14ac:dyDescent="0.15">
      <c r="A824" s="322">
        <v>1751002780</v>
      </c>
      <c r="B824" s="322" t="s">
        <v>780</v>
      </c>
      <c r="E824">
        <v>1781000210</v>
      </c>
      <c r="G824">
        <f t="shared" si="12"/>
        <v>1751002780</v>
      </c>
    </row>
    <row r="825" spans="1:7" ht="14" x14ac:dyDescent="0.15">
      <c r="A825" s="322">
        <v>1751003731</v>
      </c>
      <c r="B825" s="322" t="s">
        <v>2153</v>
      </c>
      <c r="E825">
        <v>1781000521</v>
      </c>
      <c r="G825">
        <f t="shared" si="12"/>
        <v>1751003731</v>
      </c>
    </row>
    <row r="826" spans="1:7" ht="14" x14ac:dyDescent="0.15">
      <c r="A826" s="322">
        <v>1751003780</v>
      </c>
      <c r="B826" s="322" t="s">
        <v>147</v>
      </c>
      <c r="E826">
        <v>1781000560</v>
      </c>
      <c r="G826">
        <f t="shared" si="12"/>
        <v>1751003780</v>
      </c>
    </row>
    <row r="827" spans="1:7" ht="14" x14ac:dyDescent="0.15">
      <c r="A827" s="322">
        <v>1751003781</v>
      </c>
      <c r="B827" s="322" t="s">
        <v>2154</v>
      </c>
      <c r="E827">
        <v>1781000570</v>
      </c>
      <c r="G827">
        <f t="shared" si="12"/>
        <v>1751003781</v>
      </c>
    </row>
    <row r="828" spans="1:7" ht="14" x14ac:dyDescent="0.15">
      <c r="A828" s="322">
        <v>1751004731</v>
      </c>
      <c r="B828" s="322" t="s">
        <v>2155</v>
      </c>
      <c r="E828">
        <v>1781000581</v>
      </c>
      <c r="G828">
        <f t="shared" si="12"/>
        <v>1751004731</v>
      </c>
    </row>
    <row r="829" spans="1:7" ht="14" x14ac:dyDescent="0.15">
      <c r="A829" s="322">
        <v>1751004780</v>
      </c>
      <c r="B829" s="322" t="s">
        <v>2156</v>
      </c>
      <c r="E829">
        <v>1781000752</v>
      </c>
      <c r="G829">
        <f t="shared" si="12"/>
        <v>1751004780</v>
      </c>
    </row>
    <row r="830" spans="1:7" ht="14" x14ac:dyDescent="0.15">
      <c r="A830" s="322">
        <v>1751150780</v>
      </c>
      <c r="B830" s="322" t="s">
        <v>782</v>
      </c>
      <c r="E830">
        <v>1781000753</v>
      </c>
      <c r="G830" t="e">
        <f t="shared" si="12"/>
        <v>#N/A</v>
      </c>
    </row>
    <row r="831" spans="1:7" ht="14" x14ac:dyDescent="0.15">
      <c r="A831" s="322">
        <v>1751150811</v>
      </c>
      <c r="B831" s="322" t="s">
        <v>78</v>
      </c>
      <c r="E831">
        <v>1781000930</v>
      </c>
      <c r="G831">
        <f t="shared" si="12"/>
        <v>1751150811</v>
      </c>
    </row>
    <row r="832" spans="1:7" ht="14" x14ac:dyDescent="0.15">
      <c r="A832" s="322">
        <v>1751150812</v>
      </c>
      <c r="B832" s="322" t="s">
        <v>120</v>
      </c>
      <c r="E832">
        <v>1781003731</v>
      </c>
      <c r="G832">
        <f t="shared" si="12"/>
        <v>1751150812</v>
      </c>
    </row>
    <row r="833" spans="1:7" ht="14" x14ac:dyDescent="0.15">
      <c r="A833" s="322">
        <v>1751160780</v>
      </c>
      <c r="B833" s="322" t="s">
        <v>1333</v>
      </c>
      <c r="E833">
        <v>1781004731</v>
      </c>
      <c r="G833">
        <f t="shared" si="12"/>
        <v>1751160780</v>
      </c>
    </row>
    <row r="834" spans="1:7" ht="14" x14ac:dyDescent="0.15">
      <c r="A834" s="322">
        <v>1751160781</v>
      </c>
      <c r="B834" s="322" t="s">
        <v>1647</v>
      </c>
      <c r="E834">
        <v>1781005731</v>
      </c>
      <c r="G834">
        <f t="shared" si="12"/>
        <v>1751160781</v>
      </c>
    </row>
    <row r="835" spans="1:7" ht="14" x14ac:dyDescent="0.15">
      <c r="A835" s="322">
        <v>1752001731</v>
      </c>
      <c r="B835" s="322" t="s">
        <v>148</v>
      </c>
      <c r="E835">
        <v>1781006731</v>
      </c>
      <c r="G835">
        <f t="shared" ref="G835:G898" si="13">VLOOKUP(A835,$E$2:$E$1373,1,FALSE)</f>
        <v>1752001731</v>
      </c>
    </row>
    <row r="836" spans="1:7" ht="14" x14ac:dyDescent="0.15">
      <c r="A836" s="322">
        <v>1752100810</v>
      </c>
      <c r="B836" s="322" t="s">
        <v>783</v>
      </c>
      <c r="E836">
        <v>1781007731</v>
      </c>
      <c r="G836">
        <f t="shared" si="13"/>
        <v>1752100810</v>
      </c>
    </row>
    <row r="837" spans="1:7" ht="14" x14ac:dyDescent="0.15">
      <c r="A837" s="322">
        <v>1760000910</v>
      </c>
      <c r="B837" s="322" t="s">
        <v>704</v>
      </c>
      <c r="E837">
        <v>1781008731</v>
      </c>
      <c r="G837">
        <f t="shared" si="13"/>
        <v>1760000910</v>
      </c>
    </row>
    <row r="838" spans="1:7" ht="14" x14ac:dyDescent="0.15">
      <c r="A838" s="322">
        <v>1760000981</v>
      </c>
      <c r="B838" s="322" t="s">
        <v>74</v>
      </c>
      <c r="E838">
        <v>1781100110</v>
      </c>
      <c r="G838" t="e">
        <f t="shared" si="13"/>
        <v>#N/A</v>
      </c>
    </row>
    <row r="839" spans="1:7" ht="14" x14ac:dyDescent="0.15">
      <c r="A839" s="322">
        <v>1761000110</v>
      </c>
      <c r="B839" s="322" t="s">
        <v>532</v>
      </c>
      <c r="E839">
        <v>1781100442</v>
      </c>
      <c r="G839">
        <f t="shared" si="13"/>
        <v>1761000110</v>
      </c>
    </row>
    <row r="840" spans="1:7" ht="14" x14ac:dyDescent="0.15">
      <c r="A840" s="322">
        <v>1761000210</v>
      </c>
      <c r="B840" s="322" t="s">
        <v>250</v>
      </c>
      <c r="E840">
        <v>1781100511</v>
      </c>
      <c r="G840">
        <f t="shared" si="13"/>
        <v>1761000210</v>
      </c>
    </row>
    <row r="841" spans="1:7" ht="14" x14ac:dyDescent="0.15">
      <c r="A841" s="322">
        <v>1761000420</v>
      </c>
      <c r="B841" s="322" t="s">
        <v>784</v>
      </c>
      <c r="E841">
        <v>1781100521</v>
      </c>
      <c r="G841">
        <f t="shared" si="13"/>
        <v>1761000420</v>
      </c>
    </row>
    <row r="842" spans="1:7" ht="14" x14ac:dyDescent="0.15">
      <c r="A842" s="322">
        <v>1761000430</v>
      </c>
      <c r="B842" s="322" t="s">
        <v>150</v>
      </c>
      <c r="E842">
        <v>1781100523</v>
      </c>
      <c r="G842" t="e">
        <f t="shared" si="13"/>
        <v>#N/A</v>
      </c>
    </row>
    <row r="843" spans="1:7" ht="14" x14ac:dyDescent="0.15">
      <c r="A843" s="322">
        <v>1761000470</v>
      </c>
      <c r="B843" s="322" t="s">
        <v>785</v>
      </c>
      <c r="E843">
        <v>1781100570</v>
      </c>
      <c r="G843">
        <f t="shared" si="13"/>
        <v>1761000470</v>
      </c>
    </row>
    <row r="844" spans="1:7" ht="14" x14ac:dyDescent="0.15">
      <c r="A844" s="322">
        <v>1761000511</v>
      </c>
      <c r="B844" s="322" t="s">
        <v>1840</v>
      </c>
      <c r="E844">
        <v>1781100743</v>
      </c>
      <c r="G844">
        <f t="shared" si="13"/>
        <v>1761000511</v>
      </c>
    </row>
    <row r="845" spans="1:7" ht="14" x14ac:dyDescent="0.15">
      <c r="A845" s="322">
        <v>1761000540</v>
      </c>
      <c r="B845" s="322" t="s">
        <v>786</v>
      </c>
      <c r="E845">
        <v>1781100750</v>
      </c>
      <c r="G845">
        <f t="shared" si="13"/>
        <v>1761000540</v>
      </c>
    </row>
    <row r="846" spans="1:7" ht="14" x14ac:dyDescent="0.15">
      <c r="A846" s="322">
        <v>1761000560</v>
      </c>
      <c r="B846" s="322" t="s">
        <v>1841</v>
      </c>
      <c r="E846">
        <v>1781100751</v>
      </c>
      <c r="G846">
        <f t="shared" si="13"/>
        <v>1761000560</v>
      </c>
    </row>
    <row r="847" spans="1:7" ht="14" x14ac:dyDescent="0.15">
      <c r="A847" s="322">
        <v>1761000570</v>
      </c>
      <c r="B847" s="322" t="s">
        <v>1842</v>
      </c>
      <c r="E847">
        <v>1781100780</v>
      </c>
      <c r="G847">
        <f t="shared" si="13"/>
        <v>1761000570</v>
      </c>
    </row>
    <row r="848" spans="1:7" ht="14" x14ac:dyDescent="0.15">
      <c r="A848" s="322">
        <v>1761000581</v>
      </c>
      <c r="B848" s="322" t="s">
        <v>1843</v>
      </c>
      <c r="E848">
        <v>1781100781</v>
      </c>
      <c r="G848">
        <f t="shared" si="13"/>
        <v>1761000581</v>
      </c>
    </row>
    <row r="849" spans="1:7" ht="14" x14ac:dyDescent="0.15">
      <c r="A849" s="322">
        <v>1761000720</v>
      </c>
      <c r="B849" s="322" t="s">
        <v>2062</v>
      </c>
      <c r="E849">
        <v>1781100930</v>
      </c>
      <c r="G849">
        <f t="shared" si="13"/>
        <v>1761000720</v>
      </c>
    </row>
    <row r="850" spans="1:7" ht="14" x14ac:dyDescent="0.15">
      <c r="A850" s="322">
        <v>1761000731</v>
      </c>
      <c r="B850" s="322" t="s">
        <v>121</v>
      </c>
      <c r="E850">
        <v>1781200110</v>
      </c>
      <c r="G850" t="e">
        <f t="shared" si="13"/>
        <v>#N/A</v>
      </c>
    </row>
    <row r="851" spans="1:7" ht="14" x14ac:dyDescent="0.15">
      <c r="A851" s="322">
        <v>1761000930</v>
      </c>
      <c r="B851" s="322" t="s">
        <v>788</v>
      </c>
      <c r="E851">
        <v>1781200210</v>
      </c>
      <c r="G851">
        <f t="shared" si="13"/>
        <v>1761000930</v>
      </c>
    </row>
    <row r="852" spans="1:7" ht="14" x14ac:dyDescent="0.15">
      <c r="A852" s="322">
        <v>1764000110</v>
      </c>
      <c r="B852" s="322" t="s">
        <v>523</v>
      </c>
      <c r="E852">
        <v>1781200521</v>
      </c>
      <c r="G852">
        <f t="shared" si="13"/>
        <v>1764000110</v>
      </c>
    </row>
    <row r="853" spans="1:7" ht="14" x14ac:dyDescent="0.15">
      <c r="A853" s="322">
        <v>1764000731</v>
      </c>
      <c r="B853" s="322" t="s">
        <v>122</v>
      </c>
      <c r="E853">
        <v>1781200743</v>
      </c>
      <c r="G853" t="e">
        <f t="shared" si="13"/>
        <v>#N/A</v>
      </c>
    </row>
    <row r="854" spans="1:7" ht="14" x14ac:dyDescent="0.15">
      <c r="A854" s="322">
        <v>1764000750</v>
      </c>
      <c r="B854" s="322" t="s">
        <v>1844</v>
      </c>
      <c r="E854">
        <v>1781200744</v>
      </c>
      <c r="G854">
        <f t="shared" si="13"/>
        <v>1764000750</v>
      </c>
    </row>
    <row r="855" spans="1:7" ht="14" x14ac:dyDescent="0.15">
      <c r="A855" s="322">
        <v>1764000781</v>
      </c>
      <c r="B855" s="322" t="s">
        <v>792</v>
      </c>
      <c r="E855">
        <v>1781375731</v>
      </c>
      <c r="G855" t="e">
        <f t="shared" si="13"/>
        <v>#N/A</v>
      </c>
    </row>
    <row r="856" spans="1:7" ht="14" x14ac:dyDescent="0.15">
      <c r="A856" s="322">
        <v>1764000783</v>
      </c>
      <c r="B856" s="322" t="s">
        <v>1462</v>
      </c>
      <c r="E856">
        <v>1781385731</v>
      </c>
      <c r="G856">
        <f t="shared" si="13"/>
        <v>1764000783</v>
      </c>
    </row>
    <row r="857" spans="1:7" ht="14" x14ac:dyDescent="0.15">
      <c r="A857" s="322">
        <v>1765100810</v>
      </c>
      <c r="B857" s="322" t="s">
        <v>796</v>
      </c>
      <c r="E857" s="182"/>
      <c r="G857">
        <f t="shared" si="13"/>
        <v>1765100810</v>
      </c>
    </row>
    <row r="858" spans="1:7" ht="14" x14ac:dyDescent="0.15">
      <c r="A858" s="322">
        <v>1766000810</v>
      </c>
      <c r="B858" s="322" t="s">
        <v>797</v>
      </c>
      <c r="E858" s="182"/>
      <c r="G858">
        <f t="shared" si="13"/>
        <v>1766000810</v>
      </c>
    </row>
    <row r="859" spans="1:7" ht="14" x14ac:dyDescent="0.15">
      <c r="A859" s="322">
        <v>1767000440</v>
      </c>
      <c r="B859" s="322" t="s">
        <v>558</v>
      </c>
      <c r="E859">
        <v>1811000110</v>
      </c>
      <c r="G859">
        <f t="shared" si="13"/>
        <v>1767000440</v>
      </c>
    </row>
    <row r="860" spans="1:7" ht="14" x14ac:dyDescent="0.15">
      <c r="A860" s="322">
        <v>1767000810</v>
      </c>
      <c r="B860" s="322" t="s">
        <v>132</v>
      </c>
      <c r="E860">
        <v>1811000422</v>
      </c>
      <c r="G860" t="e">
        <f t="shared" si="13"/>
        <v>#N/A</v>
      </c>
    </row>
    <row r="861" spans="1:7" ht="14" x14ac:dyDescent="0.15">
      <c r="A861" s="322">
        <v>1769000780</v>
      </c>
      <c r="B861" s="322" t="s">
        <v>800</v>
      </c>
      <c r="E861">
        <v>1811000440</v>
      </c>
      <c r="G861" t="e">
        <f t="shared" si="13"/>
        <v>#N/A</v>
      </c>
    </row>
    <row r="862" spans="1:7" ht="14" x14ac:dyDescent="0.15">
      <c r="A862" s="322">
        <v>1769000781</v>
      </c>
      <c r="B862" s="322" t="s">
        <v>265</v>
      </c>
      <c r="E862">
        <v>1811000470</v>
      </c>
      <c r="G862">
        <f t="shared" si="13"/>
        <v>1769000781</v>
      </c>
    </row>
    <row r="863" spans="1:7" ht="14" x14ac:dyDescent="0.15">
      <c r="A863" s="322">
        <v>1769000785</v>
      </c>
      <c r="B863" s="322" t="s">
        <v>801</v>
      </c>
      <c r="E863">
        <v>1811000511</v>
      </c>
      <c r="G863">
        <f t="shared" si="13"/>
        <v>1769000785</v>
      </c>
    </row>
    <row r="864" spans="1:7" ht="14" x14ac:dyDescent="0.15">
      <c r="A864" s="322">
        <v>1769000810</v>
      </c>
      <c r="B864" s="322" t="s">
        <v>1552</v>
      </c>
      <c r="E864">
        <v>1811000530</v>
      </c>
      <c r="G864">
        <f t="shared" si="13"/>
        <v>1769000810</v>
      </c>
    </row>
    <row r="865" spans="1:7" ht="14" x14ac:dyDescent="0.15">
      <c r="A865" s="322">
        <v>1772000430</v>
      </c>
      <c r="B865" s="322" t="s">
        <v>1690</v>
      </c>
      <c r="E865">
        <v>1811000550</v>
      </c>
      <c r="G865">
        <f t="shared" si="13"/>
        <v>1772000430</v>
      </c>
    </row>
    <row r="866" spans="1:7" ht="14" x14ac:dyDescent="0.15">
      <c r="A866" s="322">
        <v>1772000511</v>
      </c>
      <c r="B866" s="322" t="s">
        <v>802</v>
      </c>
      <c r="E866">
        <v>1811000560</v>
      </c>
      <c r="G866">
        <f t="shared" si="13"/>
        <v>1772000511</v>
      </c>
    </row>
    <row r="867" spans="1:7" ht="14" x14ac:dyDescent="0.15">
      <c r="A867" s="322">
        <v>1772000530</v>
      </c>
      <c r="B867" s="322" t="s">
        <v>2157</v>
      </c>
      <c r="E867">
        <v>1811000570</v>
      </c>
      <c r="G867">
        <f t="shared" si="13"/>
        <v>1772000530</v>
      </c>
    </row>
    <row r="868" spans="1:7" ht="14" x14ac:dyDescent="0.15">
      <c r="A868" s="322">
        <v>1772000550</v>
      </c>
      <c r="B868" s="322" t="s">
        <v>1242</v>
      </c>
      <c r="E868">
        <v>1811000571</v>
      </c>
      <c r="G868">
        <f t="shared" si="13"/>
        <v>1772000550</v>
      </c>
    </row>
    <row r="869" spans="1:7" ht="14" x14ac:dyDescent="0.15">
      <c r="A869" s="322">
        <v>1772000561</v>
      </c>
      <c r="B869" s="322" t="s">
        <v>664</v>
      </c>
      <c r="E869">
        <v>1811000580</v>
      </c>
      <c r="G869">
        <f t="shared" si="13"/>
        <v>1772000561</v>
      </c>
    </row>
    <row r="870" spans="1:7" ht="14" x14ac:dyDescent="0.15">
      <c r="A870" s="322">
        <v>1772000581</v>
      </c>
      <c r="B870" s="322" t="s">
        <v>1936</v>
      </c>
      <c r="E870">
        <v>1811000581</v>
      </c>
      <c r="G870">
        <f t="shared" si="13"/>
        <v>1772000581</v>
      </c>
    </row>
    <row r="871" spans="1:7" ht="14" x14ac:dyDescent="0.15">
      <c r="A871" s="322">
        <v>1772000731</v>
      </c>
      <c r="B871" s="322" t="s">
        <v>1849</v>
      </c>
      <c r="E871">
        <v>1811000780</v>
      </c>
      <c r="G871">
        <f t="shared" si="13"/>
        <v>1772000731</v>
      </c>
    </row>
    <row r="872" spans="1:7" ht="14" x14ac:dyDescent="0.15">
      <c r="A872" s="322">
        <v>1772000750</v>
      </c>
      <c r="B872" s="322" t="s">
        <v>714</v>
      </c>
      <c r="E872">
        <v>1811000910</v>
      </c>
      <c r="G872">
        <f t="shared" si="13"/>
        <v>1772000750</v>
      </c>
    </row>
    <row r="873" spans="1:7" ht="14" x14ac:dyDescent="0.15">
      <c r="A873" s="322">
        <v>1772000780</v>
      </c>
      <c r="B873" s="322" t="s">
        <v>580</v>
      </c>
      <c r="E873">
        <v>1811000930</v>
      </c>
      <c r="G873">
        <f t="shared" si="13"/>
        <v>1772000780</v>
      </c>
    </row>
    <row r="874" spans="1:7" ht="14" x14ac:dyDescent="0.15">
      <c r="A874" s="322">
        <v>1772000910</v>
      </c>
      <c r="B874" s="322" t="s">
        <v>804</v>
      </c>
      <c r="E874">
        <v>1811001530</v>
      </c>
      <c r="G874">
        <f t="shared" si="13"/>
        <v>1772000910</v>
      </c>
    </row>
    <row r="875" spans="1:7" ht="14" x14ac:dyDescent="0.15">
      <c r="A875" s="322">
        <v>1781000110</v>
      </c>
      <c r="B875" s="322" t="s">
        <v>523</v>
      </c>
      <c r="E875">
        <v>1811002731</v>
      </c>
      <c r="G875">
        <f t="shared" si="13"/>
        <v>1781000110</v>
      </c>
    </row>
    <row r="876" spans="1:7" ht="14" x14ac:dyDescent="0.15">
      <c r="A876" s="322">
        <v>1781000210</v>
      </c>
      <c r="B876" s="322" t="s">
        <v>533</v>
      </c>
      <c r="E876">
        <v>1812200110</v>
      </c>
      <c r="G876">
        <f t="shared" si="13"/>
        <v>1781000210</v>
      </c>
    </row>
    <row r="877" spans="1:7" ht="14" x14ac:dyDescent="0.15">
      <c r="A877" s="322">
        <v>1781000440</v>
      </c>
      <c r="B877" s="322" t="s">
        <v>558</v>
      </c>
      <c r="E877">
        <v>1812200210</v>
      </c>
      <c r="G877" t="e">
        <f t="shared" si="13"/>
        <v>#N/A</v>
      </c>
    </row>
    <row r="878" spans="1:7" ht="14" x14ac:dyDescent="0.15">
      <c r="A878" s="322">
        <v>1781000521</v>
      </c>
      <c r="B878" s="322" t="s">
        <v>806</v>
      </c>
      <c r="E878">
        <v>1812200430</v>
      </c>
      <c r="G878">
        <f t="shared" si="13"/>
        <v>1781000521</v>
      </c>
    </row>
    <row r="879" spans="1:7" ht="14" x14ac:dyDescent="0.15">
      <c r="A879" s="322">
        <v>1781000560</v>
      </c>
      <c r="B879" s="322" t="s">
        <v>807</v>
      </c>
      <c r="E879">
        <v>1812200540</v>
      </c>
      <c r="G879">
        <f t="shared" si="13"/>
        <v>1781000560</v>
      </c>
    </row>
    <row r="880" spans="1:7" ht="14" x14ac:dyDescent="0.15">
      <c r="A880" s="322">
        <v>1781000570</v>
      </c>
      <c r="B880" s="322" t="s">
        <v>1851</v>
      </c>
      <c r="E880">
        <v>1812200550</v>
      </c>
      <c r="G880">
        <f t="shared" si="13"/>
        <v>1781000570</v>
      </c>
    </row>
    <row r="881" spans="1:7" ht="14" x14ac:dyDescent="0.15">
      <c r="A881" s="322">
        <v>1781000581</v>
      </c>
      <c r="B881" s="322" t="s">
        <v>1852</v>
      </c>
      <c r="E881">
        <v>1812200720</v>
      </c>
      <c r="G881">
        <f t="shared" si="13"/>
        <v>1781000581</v>
      </c>
    </row>
    <row r="882" spans="1:7" ht="14" x14ac:dyDescent="0.15">
      <c r="A882" s="322">
        <v>1781000750</v>
      </c>
      <c r="B882" s="322" t="s">
        <v>714</v>
      </c>
      <c r="E882">
        <v>1812200721</v>
      </c>
      <c r="G882" t="e">
        <f t="shared" si="13"/>
        <v>#N/A</v>
      </c>
    </row>
    <row r="883" spans="1:7" ht="14" x14ac:dyDescent="0.15">
      <c r="A883" s="322">
        <v>1781000752</v>
      </c>
      <c r="B883" s="322" t="s">
        <v>259</v>
      </c>
      <c r="E883">
        <v>1812200750</v>
      </c>
      <c r="G883">
        <f t="shared" si="13"/>
        <v>1781000752</v>
      </c>
    </row>
    <row r="884" spans="1:7" ht="14" x14ac:dyDescent="0.15">
      <c r="A884" s="322">
        <v>1781000753</v>
      </c>
      <c r="B884" s="322" t="s">
        <v>1640</v>
      </c>
      <c r="E884">
        <v>1812200780</v>
      </c>
      <c r="G884">
        <f t="shared" si="13"/>
        <v>1781000753</v>
      </c>
    </row>
    <row r="885" spans="1:7" ht="14" x14ac:dyDescent="0.15">
      <c r="A885" s="322">
        <v>1781000930</v>
      </c>
      <c r="B885" s="322" t="s">
        <v>961</v>
      </c>
      <c r="E885">
        <v>1812200811</v>
      </c>
      <c r="G885">
        <f t="shared" si="13"/>
        <v>1781000930</v>
      </c>
    </row>
    <row r="886" spans="1:7" ht="14" x14ac:dyDescent="0.15">
      <c r="A886" s="322">
        <v>1781002731</v>
      </c>
      <c r="B886" s="322" t="s">
        <v>262</v>
      </c>
      <c r="E886">
        <v>1812200930</v>
      </c>
      <c r="G886" t="e">
        <f t="shared" si="13"/>
        <v>#N/A</v>
      </c>
    </row>
    <row r="887" spans="1:7" ht="14" x14ac:dyDescent="0.15">
      <c r="A887" s="322">
        <v>1781003731</v>
      </c>
      <c r="B887" s="322" t="s">
        <v>811</v>
      </c>
      <c r="E887">
        <v>1812201560</v>
      </c>
      <c r="G887">
        <f t="shared" si="13"/>
        <v>1781003731</v>
      </c>
    </row>
    <row r="888" spans="1:7" ht="14" x14ac:dyDescent="0.15">
      <c r="A888" s="322">
        <v>1781004731</v>
      </c>
      <c r="B888" s="322" t="s">
        <v>123</v>
      </c>
      <c r="E888">
        <v>1812201780</v>
      </c>
      <c r="G888">
        <f t="shared" si="13"/>
        <v>1781004731</v>
      </c>
    </row>
    <row r="889" spans="1:7" ht="14" x14ac:dyDescent="0.15">
      <c r="A889" s="322">
        <v>1781005731</v>
      </c>
      <c r="B889" s="322" t="s">
        <v>124</v>
      </c>
      <c r="E889">
        <v>1812210110</v>
      </c>
      <c r="G889">
        <f t="shared" si="13"/>
        <v>1781005731</v>
      </c>
    </row>
    <row r="890" spans="1:7" ht="14" x14ac:dyDescent="0.15">
      <c r="A890" s="322">
        <v>1781006731</v>
      </c>
      <c r="B890" s="322" t="s">
        <v>79</v>
      </c>
      <c r="E890">
        <v>1812210210</v>
      </c>
      <c r="G890">
        <f t="shared" si="13"/>
        <v>1781006731</v>
      </c>
    </row>
    <row r="891" spans="1:7" ht="14" x14ac:dyDescent="0.15">
      <c r="A891" s="322">
        <v>1781007731</v>
      </c>
      <c r="B891" s="322" t="s">
        <v>1619</v>
      </c>
      <c r="E891">
        <v>1812210760</v>
      </c>
      <c r="G891">
        <f t="shared" si="13"/>
        <v>1781007731</v>
      </c>
    </row>
    <row r="892" spans="1:7" ht="14" x14ac:dyDescent="0.15">
      <c r="A892" s="322">
        <v>1781008731</v>
      </c>
      <c r="B892" s="322" t="s">
        <v>1937</v>
      </c>
      <c r="E892">
        <v>1812220760</v>
      </c>
      <c r="G892">
        <f t="shared" si="13"/>
        <v>1781008731</v>
      </c>
    </row>
    <row r="893" spans="1:7" ht="14" x14ac:dyDescent="0.15">
      <c r="A893" s="322">
        <v>1781100110</v>
      </c>
      <c r="B893" s="322" t="s">
        <v>534</v>
      </c>
      <c r="E893">
        <v>1812500780</v>
      </c>
      <c r="G893">
        <f t="shared" si="13"/>
        <v>1781100110</v>
      </c>
    </row>
    <row r="894" spans="1:7" ht="14" x14ac:dyDescent="0.15">
      <c r="A894" s="322">
        <v>1781100442</v>
      </c>
      <c r="B894" s="322" t="s">
        <v>812</v>
      </c>
      <c r="E894">
        <v>1812501780</v>
      </c>
      <c r="G894">
        <f t="shared" si="13"/>
        <v>1781100442</v>
      </c>
    </row>
    <row r="895" spans="1:7" ht="14" x14ac:dyDescent="0.15">
      <c r="A895" s="322">
        <v>1781100511</v>
      </c>
      <c r="B895" s="322" t="s">
        <v>813</v>
      </c>
      <c r="E895">
        <v>1813200430</v>
      </c>
      <c r="G895">
        <f t="shared" si="13"/>
        <v>1781100511</v>
      </c>
    </row>
    <row r="896" spans="1:7" ht="14" x14ac:dyDescent="0.15">
      <c r="A896" s="322">
        <v>1781100521</v>
      </c>
      <c r="B896" s="322" t="s">
        <v>646</v>
      </c>
      <c r="E896">
        <v>1813200470</v>
      </c>
      <c r="G896">
        <f t="shared" si="13"/>
        <v>1781100521</v>
      </c>
    </row>
    <row r="897" spans="1:7" ht="14" x14ac:dyDescent="0.15">
      <c r="A897" s="322">
        <v>1781100523</v>
      </c>
      <c r="B897" s="322" t="s">
        <v>2158</v>
      </c>
      <c r="E897">
        <v>1813200540</v>
      </c>
      <c r="G897">
        <f t="shared" si="13"/>
        <v>1781100523</v>
      </c>
    </row>
    <row r="898" spans="1:7" ht="14" x14ac:dyDescent="0.15">
      <c r="A898" s="322">
        <v>1781100570</v>
      </c>
      <c r="B898" s="322" t="s">
        <v>814</v>
      </c>
      <c r="E898">
        <v>1813200720</v>
      </c>
      <c r="G898">
        <f t="shared" si="13"/>
        <v>1781100570</v>
      </c>
    </row>
    <row r="899" spans="1:7" ht="14" x14ac:dyDescent="0.15">
      <c r="A899" s="322">
        <v>1781100743</v>
      </c>
      <c r="B899" s="322" t="s">
        <v>815</v>
      </c>
      <c r="E899">
        <v>1813200721</v>
      </c>
      <c r="G899">
        <f t="shared" ref="G899:G962" si="14">VLOOKUP(A899,$E$2:$E$1373,1,FALSE)</f>
        <v>1781100743</v>
      </c>
    </row>
    <row r="900" spans="1:7" ht="14" x14ac:dyDescent="0.15">
      <c r="A900" s="322">
        <v>1781100750</v>
      </c>
      <c r="B900" s="322" t="s">
        <v>816</v>
      </c>
      <c r="E900">
        <v>1813200723</v>
      </c>
      <c r="G900">
        <f t="shared" si="14"/>
        <v>1781100750</v>
      </c>
    </row>
    <row r="901" spans="1:7" ht="14" x14ac:dyDescent="0.15">
      <c r="A901" s="322">
        <v>1781100751</v>
      </c>
      <c r="B901" s="322" t="s">
        <v>1496</v>
      </c>
      <c r="E901">
        <v>1813200750</v>
      </c>
      <c r="G901">
        <f t="shared" si="14"/>
        <v>1781100751</v>
      </c>
    </row>
    <row r="902" spans="1:7" ht="14" x14ac:dyDescent="0.15">
      <c r="A902" s="322">
        <v>1781100780</v>
      </c>
      <c r="B902" s="322" t="s">
        <v>580</v>
      </c>
      <c r="E902">
        <v>1813200780</v>
      </c>
      <c r="G902">
        <f t="shared" si="14"/>
        <v>1781100780</v>
      </c>
    </row>
    <row r="903" spans="1:7" ht="14" x14ac:dyDescent="0.15">
      <c r="A903" s="322">
        <v>1781100781</v>
      </c>
      <c r="B903" s="322" t="s">
        <v>1940</v>
      </c>
      <c r="E903">
        <v>1813200910</v>
      </c>
      <c r="G903">
        <f t="shared" si="14"/>
        <v>1781100781</v>
      </c>
    </row>
    <row r="904" spans="1:7" ht="14" x14ac:dyDescent="0.15">
      <c r="A904" s="322">
        <v>1781100930</v>
      </c>
      <c r="B904" s="322" t="s">
        <v>739</v>
      </c>
      <c r="E904">
        <v>1813200930</v>
      </c>
      <c r="G904">
        <f t="shared" si="14"/>
        <v>1781100930</v>
      </c>
    </row>
    <row r="905" spans="1:7" ht="14" x14ac:dyDescent="0.15">
      <c r="A905" s="322">
        <v>1781200110</v>
      </c>
      <c r="B905" s="322" t="s">
        <v>1634</v>
      </c>
      <c r="E905">
        <v>1813200980</v>
      </c>
      <c r="G905">
        <f t="shared" si="14"/>
        <v>1781200110</v>
      </c>
    </row>
    <row r="906" spans="1:7" ht="14" x14ac:dyDescent="0.15">
      <c r="A906" s="322">
        <v>1781200210</v>
      </c>
      <c r="B906" s="322" t="s">
        <v>1857</v>
      </c>
      <c r="E906">
        <v>1813200981</v>
      </c>
      <c r="G906">
        <f t="shared" si="14"/>
        <v>1781200210</v>
      </c>
    </row>
    <row r="907" spans="1:7" ht="14" x14ac:dyDescent="0.15">
      <c r="A907" s="322">
        <v>1781200521</v>
      </c>
      <c r="B907" s="322" t="s">
        <v>1637</v>
      </c>
      <c r="E907">
        <v>1813201750</v>
      </c>
      <c r="G907">
        <f t="shared" si="14"/>
        <v>1781200521</v>
      </c>
    </row>
    <row r="908" spans="1:7" ht="14" x14ac:dyDescent="0.15">
      <c r="A908" s="322">
        <v>1781200743</v>
      </c>
      <c r="B908" s="322" t="s">
        <v>1638</v>
      </c>
      <c r="E908">
        <v>1813201780</v>
      </c>
      <c r="G908">
        <f t="shared" si="14"/>
        <v>1781200743</v>
      </c>
    </row>
    <row r="909" spans="1:7" ht="14" x14ac:dyDescent="0.15">
      <c r="A909" s="322">
        <v>1781200744</v>
      </c>
      <c r="B909" s="322" t="s">
        <v>1858</v>
      </c>
      <c r="E909">
        <v>1813201781</v>
      </c>
      <c r="G909">
        <f t="shared" si="14"/>
        <v>1781200744</v>
      </c>
    </row>
    <row r="910" spans="1:7" ht="14" x14ac:dyDescent="0.15">
      <c r="A910" s="322">
        <v>1781365731</v>
      </c>
      <c r="B910" s="322" t="s">
        <v>1495</v>
      </c>
      <c r="E910">
        <v>1813201980</v>
      </c>
      <c r="G910" t="e">
        <f t="shared" si="14"/>
        <v>#N/A</v>
      </c>
    </row>
    <row r="911" spans="1:7" ht="14" x14ac:dyDescent="0.15">
      <c r="A911" s="322">
        <v>1781375731</v>
      </c>
      <c r="B911" s="322" t="s">
        <v>1859</v>
      </c>
      <c r="E911">
        <v>1813204110</v>
      </c>
      <c r="G911">
        <f t="shared" si="14"/>
        <v>1781375731</v>
      </c>
    </row>
    <row r="912" spans="1:7" ht="14" x14ac:dyDescent="0.15">
      <c r="A912" s="322">
        <v>1781385731</v>
      </c>
      <c r="B912" s="322" t="s">
        <v>1860</v>
      </c>
      <c r="E912">
        <v>1813204210</v>
      </c>
      <c r="G912">
        <f t="shared" si="14"/>
        <v>1781385731</v>
      </c>
    </row>
    <row r="913" spans="1:7" ht="14" x14ac:dyDescent="0.15">
      <c r="A913" s="322">
        <v>1810000981</v>
      </c>
      <c r="B913" s="322" t="s">
        <v>74</v>
      </c>
      <c r="E913">
        <v>1813205110</v>
      </c>
      <c r="G913" t="e">
        <f t="shared" si="14"/>
        <v>#N/A</v>
      </c>
    </row>
    <row r="914" spans="1:7" ht="14" x14ac:dyDescent="0.15">
      <c r="A914" s="322">
        <v>1811000110</v>
      </c>
      <c r="B914" s="322" t="s">
        <v>523</v>
      </c>
      <c r="E914">
        <v>1813205760</v>
      </c>
      <c r="G914">
        <f t="shared" si="14"/>
        <v>1811000110</v>
      </c>
    </row>
    <row r="915" spans="1:7" ht="14" x14ac:dyDescent="0.15">
      <c r="A915" s="322">
        <v>1811000422</v>
      </c>
      <c r="B915" s="322" t="s">
        <v>818</v>
      </c>
      <c r="E915">
        <v>1813205780</v>
      </c>
      <c r="G915">
        <f t="shared" si="14"/>
        <v>1811000422</v>
      </c>
    </row>
    <row r="916" spans="1:7" ht="14" x14ac:dyDescent="0.15">
      <c r="A916" s="322">
        <v>1811000440</v>
      </c>
      <c r="B916" s="322" t="s">
        <v>558</v>
      </c>
      <c r="E916">
        <v>1813205781</v>
      </c>
      <c r="G916">
        <f t="shared" si="14"/>
        <v>1811000440</v>
      </c>
    </row>
    <row r="917" spans="1:7" ht="14" x14ac:dyDescent="0.15">
      <c r="A917" s="322">
        <v>1811000470</v>
      </c>
      <c r="B917" s="322" t="s">
        <v>820</v>
      </c>
      <c r="E917">
        <v>1813211110</v>
      </c>
      <c r="G917">
        <f t="shared" si="14"/>
        <v>1811000470</v>
      </c>
    </row>
    <row r="918" spans="1:7" ht="14" x14ac:dyDescent="0.15">
      <c r="A918" s="322">
        <v>1811000511</v>
      </c>
      <c r="B918" s="322" t="s">
        <v>697</v>
      </c>
      <c r="E918">
        <v>1813211750</v>
      </c>
      <c r="G918">
        <f t="shared" si="14"/>
        <v>1811000511</v>
      </c>
    </row>
    <row r="919" spans="1:7" ht="14" x14ac:dyDescent="0.15">
      <c r="A919" s="322">
        <v>1811000512</v>
      </c>
      <c r="B919" s="322" t="s">
        <v>821</v>
      </c>
      <c r="E919">
        <v>1813213110</v>
      </c>
      <c r="G919" t="e">
        <f t="shared" si="14"/>
        <v>#N/A</v>
      </c>
    </row>
    <row r="920" spans="1:7" ht="14" x14ac:dyDescent="0.15">
      <c r="A920" s="322">
        <v>1811000530</v>
      </c>
      <c r="B920" s="322" t="s">
        <v>2159</v>
      </c>
      <c r="E920">
        <v>1813213210</v>
      </c>
      <c r="G920">
        <f t="shared" si="14"/>
        <v>1811000530</v>
      </c>
    </row>
    <row r="921" spans="1:7" ht="14" x14ac:dyDescent="0.15">
      <c r="A921" s="322">
        <v>1811000550</v>
      </c>
      <c r="B921" s="322" t="s">
        <v>822</v>
      </c>
      <c r="E921">
        <v>1813214110</v>
      </c>
      <c r="G921">
        <f t="shared" si="14"/>
        <v>1811000550</v>
      </c>
    </row>
    <row r="922" spans="1:7" ht="14" x14ac:dyDescent="0.15">
      <c r="A922" s="322">
        <v>1811000560</v>
      </c>
      <c r="B922" s="322" t="s">
        <v>823</v>
      </c>
      <c r="E922">
        <v>1813300430</v>
      </c>
      <c r="G922">
        <f t="shared" si="14"/>
        <v>1811000560</v>
      </c>
    </row>
    <row r="923" spans="1:7" ht="14" x14ac:dyDescent="0.15">
      <c r="A923" s="322">
        <v>1811000570</v>
      </c>
      <c r="B923" s="322" t="s">
        <v>824</v>
      </c>
      <c r="E923">
        <v>1813300721</v>
      </c>
      <c r="G923">
        <f t="shared" si="14"/>
        <v>1811000570</v>
      </c>
    </row>
    <row r="924" spans="1:7" ht="14" x14ac:dyDescent="0.15">
      <c r="A924" s="322">
        <v>1811000571</v>
      </c>
      <c r="B924" s="322" t="s">
        <v>590</v>
      </c>
      <c r="E924">
        <v>1813300780</v>
      </c>
      <c r="G924">
        <f t="shared" si="14"/>
        <v>1811000571</v>
      </c>
    </row>
    <row r="925" spans="1:7" ht="14" x14ac:dyDescent="0.15">
      <c r="A925" s="322">
        <v>1811000580</v>
      </c>
      <c r="B925" s="322" t="s">
        <v>825</v>
      </c>
      <c r="E925">
        <v>1813304110</v>
      </c>
      <c r="G925">
        <f t="shared" si="14"/>
        <v>1811000580</v>
      </c>
    </row>
    <row r="926" spans="1:7" ht="14" x14ac:dyDescent="0.15">
      <c r="A926" s="322">
        <v>1811000581</v>
      </c>
      <c r="B926" s="322" t="s">
        <v>1862</v>
      </c>
      <c r="E926">
        <v>1813305110</v>
      </c>
      <c r="G926">
        <f t="shared" si="14"/>
        <v>1811000581</v>
      </c>
    </row>
    <row r="927" spans="1:7" ht="14" x14ac:dyDescent="0.15">
      <c r="A927" s="322">
        <v>1811000720</v>
      </c>
      <c r="B927" s="322" t="s">
        <v>826</v>
      </c>
      <c r="E927">
        <v>1813311750</v>
      </c>
      <c r="G927" t="e">
        <f t="shared" si="14"/>
        <v>#N/A</v>
      </c>
    </row>
    <row r="928" spans="1:7" ht="14" x14ac:dyDescent="0.15">
      <c r="A928" s="322">
        <v>1811000780</v>
      </c>
      <c r="B928" s="322" t="s">
        <v>580</v>
      </c>
      <c r="E928">
        <v>1813313110</v>
      </c>
      <c r="G928">
        <f t="shared" si="14"/>
        <v>1811000780</v>
      </c>
    </row>
    <row r="929" spans="1:7" ht="14" x14ac:dyDescent="0.15">
      <c r="A929" s="322">
        <v>1811000910</v>
      </c>
      <c r="B929" s="322" t="s">
        <v>827</v>
      </c>
      <c r="E929">
        <v>1813313210</v>
      </c>
      <c r="G929">
        <f t="shared" si="14"/>
        <v>1811000910</v>
      </c>
    </row>
    <row r="930" spans="1:7" ht="14" x14ac:dyDescent="0.15">
      <c r="A930" s="322">
        <v>1811000930</v>
      </c>
      <c r="B930" s="322" t="s">
        <v>1864</v>
      </c>
      <c r="E930">
        <v>1813317780</v>
      </c>
      <c r="G930">
        <f t="shared" si="14"/>
        <v>1811000930</v>
      </c>
    </row>
    <row r="931" spans="1:7" ht="14" x14ac:dyDescent="0.15">
      <c r="A931" s="322">
        <v>1811001530</v>
      </c>
      <c r="B931" s="322" t="s">
        <v>2160</v>
      </c>
      <c r="E931">
        <v>1813700750</v>
      </c>
      <c r="G931">
        <f t="shared" si="14"/>
        <v>1811001530</v>
      </c>
    </row>
    <row r="932" spans="1:7" ht="14" x14ac:dyDescent="0.15">
      <c r="A932" s="322">
        <v>1811001731</v>
      </c>
      <c r="B932" s="322" t="s">
        <v>260</v>
      </c>
      <c r="E932">
        <v>1813700780</v>
      </c>
      <c r="G932" t="e">
        <f t="shared" si="14"/>
        <v>#N/A</v>
      </c>
    </row>
    <row r="933" spans="1:7" ht="14" x14ac:dyDescent="0.15">
      <c r="A933" s="322">
        <v>1811002731</v>
      </c>
      <c r="B933" s="322" t="s">
        <v>1865</v>
      </c>
      <c r="E933">
        <v>1813705110</v>
      </c>
      <c r="G933">
        <f t="shared" si="14"/>
        <v>1811002731</v>
      </c>
    </row>
    <row r="934" spans="1:7" ht="14" x14ac:dyDescent="0.15">
      <c r="A934" s="322">
        <v>1812200110</v>
      </c>
      <c r="B934" s="322" t="s">
        <v>126</v>
      </c>
      <c r="E934">
        <v>1815200810</v>
      </c>
      <c r="G934">
        <f t="shared" si="14"/>
        <v>1812200110</v>
      </c>
    </row>
    <row r="935" spans="1:7" ht="14" x14ac:dyDescent="0.15">
      <c r="A935" s="322">
        <v>1812200210</v>
      </c>
      <c r="B935" s="322" t="s">
        <v>920</v>
      </c>
      <c r="E935">
        <v>1815700810</v>
      </c>
      <c r="G935">
        <f t="shared" si="14"/>
        <v>1812200210</v>
      </c>
    </row>
    <row r="936" spans="1:7" ht="14" x14ac:dyDescent="0.15">
      <c r="A936" s="322">
        <v>1812200430</v>
      </c>
      <c r="B936" s="322" t="s">
        <v>956</v>
      </c>
      <c r="E936">
        <v>1815701810</v>
      </c>
      <c r="G936">
        <f t="shared" si="14"/>
        <v>1812200430</v>
      </c>
    </row>
    <row r="937" spans="1:7" ht="14" x14ac:dyDescent="0.15">
      <c r="A937" s="322">
        <v>1812200540</v>
      </c>
      <c r="B937" s="322" t="s">
        <v>957</v>
      </c>
      <c r="E937">
        <v>1815777780</v>
      </c>
      <c r="G937">
        <f t="shared" si="14"/>
        <v>1812200540</v>
      </c>
    </row>
    <row r="938" spans="1:7" ht="14" x14ac:dyDescent="0.15">
      <c r="A938" s="322">
        <v>1812200550</v>
      </c>
      <c r="B938" s="322" t="s">
        <v>822</v>
      </c>
      <c r="E938">
        <v>1815777781</v>
      </c>
      <c r="G938">
        <f t="shared" si="14"/>
        <v>1812200550</v>
      </c>
    </row>
    <row r="939" spans="1:7" ht="14" x14ac:dyDescent="0.15">
      <c r="A939" s="322">
        <v>1812200720</v>
      </c>
      <c r="B939" s="322" t="s">
        <v>958</v>
      </c>
      <c r="E939">
        <v>1815788780</v>
      </c>
      <c r="G939">
        <f t="shared" si="14"/>
        <v>1812200720</v>
      </c>
    </row>
    <row r="940" spans="1:7" ht="14" x14ac:dyDescent="0.15">
      <c r="A940" s="322">
        <v>1812200721</v>
      </c>
      <c r="B940" s="322" t="s">
        <v>959</v>
      </c>
      <c r="E940">
        <v>1815788781</v>
      </c>
      <c r="G940">
        <f t="shared" si="14"/>
        <v>1812200721</v>
      </c>
    </row>
    <row r="941" spans="1:7" ht="14" x14ac:dyDescent="0.15">
      <c r="A941" s="322">
        <v>1812200750</v>
      </c>
      <c r="B941" s="322" t="s">
        <v>956</v>
      </c>
      <c r="E941">
        <v>1817000780</v>
      </c>
      <c r="G941">
        <f t="shared" si="14"/>
        <v>1812200750</v>
      </c>
    </row>
    <row r="942" spans="1:7" ht="14" x14ac:dyDescent="0.15">
      <c r="A942" s="322">
        <v>1812200780</v>
      </c>
      <c r="B942" s="322" t="s">
        <v>580</v>
      </c>
      <c r="E942">
        <v>1817000980</v>
      </c>
      <c r="G942">
        <f t="shared" si="14"/>
        <v>1812200780</v>
      </c>
    </row>
    <row r="943" spans="1:7" ht="14" x14ac:dyDescent="0.15">
      <c r="A943" s="322">
        <v>1812200811</v>
      </c>
      <c r="B943" s="322" t="s">
        <v>960</v>
      </c>
      <c r="E943">
        <v>1817100110</v>
      </c>
      <c r="G943">
        <f t="shared" si="14"/>
        <v>1812200811</v>
      </c>
    </row>
    <row r="944" spans="1:7" ht="14" x14ac:dyDescent="0.15">
      <c r="A944" s="322">
        <v>1812200930</v>
      </c>
      <c r="B944" s="322" t="s">
        <v>961</v>
      </c>
      <c r="E944">
        <v>1817100750</v>
      </c>
      <c r="G944">
        <f t="shared" si="14"/>
        <v>1812200930</v>
      </c>
    </row>
    <row r="945" spans="1:7" ht="14" x14ac:dyDescent="0.15">
      <c r="A945" s="322">
        <v>1812201560</v>
      </c>
      <c r="B945" s="322" t="s">
        <v>664</v>
      </c>
      <c r="E945">
        <v>1817200110</v>
      </c>
      <c r="G945">
        <f t="shared" si="14"/>
        <v>1812201560</v>
      </c>
    </row>
    <row r="946" spans="1:7" ht="14" x14ac:dyDescent="0.15">
      <c r="A946" s="322">
        <v>1812201780</v>
      </c>
      <c r="B946" s="322" t="s">
        <v>962</v>
      </c>
      <c r="E946">
        <v>1817200540</v>
      </c>
      <c r="G946">
        <f t="shared" si="14"/>
        <v>1812201780</v>
      </c>
    </row>
    <row r="947" spans="1:7" ht="14" x14ac:dyDescent="0.15">
      <c r="A947" s="322">
        <v>1812210110</v>
      </c>
      <c r="B947" s="322" t="s">
        <v>921</v>
      </c>
      <c r="E947">
        <v>1817200780</v>
      </c>
      <c r="G947">
        <f t="shared" si="14"/>
        <v>1812210110</v>
      </c>
    </row>
    <row r="948" spans="1:7" ht="14" x14ac:dyDescent="0.15">
      <c r="A948" s="322">
        <v>1812210210</v>
      </c>
      <c r="B948" s="322" t="s">
        <v>922</v>
      </c>
      <c r="E948">
        <v>1817300110</v>
      </c>
      <c r="G948">
        <f t="shared" si="14"/>
        <v>1812210210</v>
      </c>
    </row>
    <row r="949" spans="1:7" ht="14" x14ac:dyDescent="0.15">
      <c r="A949" s="322">
        <v>1812210760</v>
      </c>
      <c r="B949" s="322" t="s">
        <v>963</v>
      </c>
      <c r="E949">
        <v>1817300430</v>
      </c>
      <c r="G949">
        <f t="shared" si="14"/>
        <v>1812210760</v>
      </c>
    </row>
    <row r="950" spans="1:7" ht="14" x14ac:dyDescent="0.15">
      <c r="A950" s="322">
        <v>1812220760</v>
      </c>
      <c r="B950" s="322" t="s">
        <v>363</v>
      </c>
      <c r="E950">
        <v>1817300470</v>
      </c>
      <c r="G950">
        <f t="shared" si="14"/>
        <v>1812220760</v>
      </c>
    </row>
    <row r="951" spans="1:7" ht="14" x14ac:dyDescent="0.15">
      <c r="A951" s="322">
        <v>1812500780</v>
      </c>
      <c r="B951" s="322" t="s">
        <v>964</v>
      </c>
      <c r="E951">
        <v>1817300511</v>
      </c>
      <c r="G951">
        <f t="shared" si="14"/>
        <v>1812500780</v>
      </c>
    </row>
    <row r="952" spans="1:7" ht="14" x14ac:dyDescent="0.15">
      <c r="A952" s="322">
        <v>1812501780</v>
      </c>
      <c r="B952" s="322" t="s">
        <v>965</v>
      </c>
      <c r="E952">
        <v>1817300521</v>
      </c>
      <c r="G952">
        <f t="shared" si="14"/>
        <v>1812501780</v>
      </c>
    </row>
    <row r="953" spans="1:7" ht="14" x14ac:dyDescent="0.15">
      <c r="A953" s="322">
        <v>1812800210</v>
      </c>
      <c r="B953" s="322" t="s">
        <v>1157</v>
      </c>
      <c r="E953">
        <v>1817300540</v>
      </c>
      <c r="G953" t="e">
        <f t="shared" si="14"/>
        <v>#N/A</v>
      </c>
    </row>
    <row r="954" spans="1:7" ht="14" x14ac:dyDescent="0.15">
      <c r="A954" s="322">
        <v>1813200430</v>
      </c>
      <c r="B954" s="322" t="s">
        <v>839</v>
      </c>
      <c r="E954">
        <v>1817300581</v>
      </c>
      <c r="G954">
        <f t="shared" si="14"/>
        <v>1813200430</v>
      </c>
    </row>
    <row r="955" spans="1:7" ht="14" x14ac:dyDescent="0.15">
      <c r="A955" s="322">
        <v>1813200470</v>
      </c>
      <c r="B955" s="322" t="s">
        <v>966</v>
      </c>
      <c r="E955">
        <v>1817300720</v>
      </c>
      <c r="G955">
        <f t="shared" si="14"/>
        <v>1813200470</v>
      </c>
    </row>
    <row r="956" spans="1:7" ht="14" x14ac:dyDescent="0.15">
      <c r="A956" s="322">
        <v>1813200540</v>
      </c>
      <c r="B956" s="322" t="s">
        <v>967</v>
      </c>
      <c r="E956">
        <v>1817300750</v>
      </c>
      <c r="G956">
        <f t="shared" si="14"/>
        <v>1813200540</v>
      </c>
    </row>
    <row r="957" spans="1:7" ht="14" x14ac:dyDescent="0.15">
      <c r="A957" s="322">
        <v>1813200720</v>
      </c>
      <c r="B957" s="322" t="s">
        <v>689</v>
      </c>
      <c r="E957">
        <v>1817300780</v>
      </c>
      <c r="G957">
        <f t="shared" si="14"/>
        <v>1813200720</v>
      </c>
    </row>
    <row r="958" spans="1:7" ht="14" x14ac:dyDescent="0.15">
      <c r="A958" s="322">
        <v>1813200721</v>
      </c>
      <c r="B958" s="322" t="s">
        <v>968</v>
      </c>
      <c r="E958">
        <v>1817300930</v>
      </c>
      <c r="G958">
        <f t="shared" si="14"/>
        <v>1813200721</v>
      </c>
    </row>
    <row r="959" spans="1:7" ht="14" x14ac:dyDescent="0.15">
      <c r="A959" s="322">
        <v>1813200723</v>
      </c>
      <c r="B959" s="322" t="s">
        <v>2048</v>
      </c>
      <c r="E959">
        <v>1817304110</v>
      </c>
      <c r="G959">
        <f t="shared" si="14"/>
        <v>1813200723</v>
      </c>
    </row>
    <row r="960" spans="1:7" ht="14" x14ac:dyDescent="0.15">
      <c r="A960" s="322">
        <v>1813200750</v>
      </c>
      <c r="B960" s="322" t="s">
        <v>714</v>
      </c>
      <c r="E960">
        <v>1817500760</v>
      </c>
      <c r="G960">
        <f t="shared" si="14"/>
        <v>1813200750</v>
      </c>
    </row>
    <row r="961" spans="1:7" ht="14" x14ac:dyDescent="0.15">
      <c r="A961" s="322">
        <v>1813200780</v>
      </c>
      <c r="B961" s="322" t="s">
        <v>580</v>
      </c>
      <c r="E961">
        <v>1817600110</v>
      </c>
      <c r="G961">
        <f t="shared" si="14"/>
        <v>1813200780</v>
      </c>
    </row>
    <row r="962" spans="1:7" ht="14" x14ac:dyDescent="0.15">
      <c r="A962" s="322">
        <v>1813200910</v>
      </c>
      <c r="B962" s="322" t="s">
        <v>738</v>
      </c>
      <c r="E962">
        <v>1817600980</v>
      </c>
      <c r="G962">
        <f t="shared" si="14"/>
        <v>1813200910</v>
      </c>
    </row>
    <row r="963" spans="1:7" ht="14" x14ac:dyDescent="0.15">
      <c r="A963" s="322">
        <v>1813200930</v>
      </c>
      <c r="B963" s="322" t="s">
        <v>961</v>
      </c>
      <c r="E963">
        <v>1817622210</v>
      </c>
      <c r="G963">
        <f t="shared" ref="G963:G1026" si="15">VLOOKUP(A963,$E$2:$E$1373,1,FALSE)</f>
        <v>1813200930</v>
      </c>
    </row>
    <row r="964" spans="1:7" ht="14" x14ac:dyDescent="0.15">
      <c r="A964" s="322">
        <v>1813200980</v>
      </c>
      <c r="B964" s="322" t="s">
        <v>969</v>
      </c>
      <c r="E964">
        <v>1817700110</v>
      </c>
      <c r="G964">
        <f t="shared" si="15"/>
        <v>1813200980</v>
      </c>
    </row>
    <row r="965" spans="1:7" ht="14" x14ac:dyDescent="0.15">
      <c r="A965" s="322">
        <v>1813200981</v>
      </c>
      <c r="B965" s="322" t="s">
        <v>1494</v>
      </c>
      <c r="E965">
        <v>1817700780</v>
      </c>
      <c r="G965">
        <f t="shared" si="15"/>
        <v>1813200981</v>
      </c>
    </row>
    <row r="966" spans="1:7" ht="14" x14ac:dyDescent="0.15">
      <c r="A966" s="322">
        <v>1813201750</v>
      </c>
      <c r="B966" s="322" t="s">
        <v>970</v>
      </c>
      <c r="E966">
        <v>1817701110</v>
      </c>
      <c r="G966">
        <f t="shared" si="15"/>
        <v>1813201750</v>
      </c>
    </row>
    <row r="967" spans="1:7" ht="14" x14ac:dyDescent="0.15">
      <c r="A967" s="322">
        <v>1813201780</v>
      </c>
      <c r="B967" s="322" t="s">
        <v>1493</v>
      </c>
      <c r="E967">
        <v>1817710110</v>
      </c>
      <c r="G967">
        <f t="shared" si="15"/>
        <v>1813201780</v>
      </c>
    </row>
    <row r="968" spans="1:7" ht="14" x14ac:dyDescent="0.15">
      <c r="A968" s="322">
        <v>1813201781</v>
      </c>
      <c r="B968" s="322" t="s">
        <v>1492</v>
      </c>
      <c r="E968">
        <v>1817710721</v>
      </c>
      <c r="G968">
        <f t="shared" si="15"/>
        <v>1813201781</v>
      </c>
    </row>
    <row r="969" spans="1:7" ht="14" x14ac:dyDescent="0.15">
      <c r="A969" s="322">
        <v>1813201980</v>
      </c>
      <c r="B969" s="322" t="s">
        <v>127</v>
      </c>
      <c r="E969">
        <v>1817711110</v>
      </c>
      <c r="G969">
        <f t="shared" si="15"/>
        <v>1813201980</v>
      </c>
    </row>
    <row r="970" spans="1:7" ht="14" x14ac:dyDescent="0.15">
      <c r="A970" s="322">
        <v>1813204110</v>
      </c>
      <c r="B970" s="322" t="s">
        <v>923</v>
      </c>
      <c r="E970">
        <v>1817727110</v>
      </c>
      <c r="G970">
        <f t="shared" si="15"/>
        <v>1813204110</v>
      </c>
    </row>
    <row r="971" spans="1:7" ht="14" x14ac:dyDescent="0.15">
      <c r="A971" s="322">
        <v>1813204210</v>
      </c>
      <c r="B971" s="322" t="s">
        <v>919</v>
      </c>
      <c r="E971">
        <v>1817728110</v>
      </c>
      <c r="G971">
        <f t="shared" si="15"/>
        <v>1813204210</v>
      </c>
    </row>
    <row r="972" spans="1:7" ht="14" x14ac:dyDescent="0.15">
      <c r="A972" s="322">
        <v>1813205110</v>
      </c>
      <c r="B972" s="322" t="s">
        <v>924</v>
      </c>
      <c r="E972">
        <v>1817800110</v>
      </c>
      <c r="G972">
        <f t="shared" si="15"/>
        <v>1813205110</v>
      </c>
    </row>
    <row r="973" spans="1:7" ht="14" x14ac:dyDescent="0.15">
      <c r="A973" s="322">
        <v>1813205210</v>
      </c>
      <c r="B973" s="322" t="s">
        <v>925</v>
      </c>
      <c r="E973">
        <v>1817800210</v>
      </c>
      <c r="G973" t="e">
        <f t="shared" si="15"/>
        <v>#N/A</v>
      </c>
    </row>
    <row r="974" spans="1:7" ht="14" x14ac:dyDescent="0.15">
      <c r="A974" s="322">
        <v>1813205760</v>
      </c>
      <c r="B974" s="322" t="s">
        <v>971</v>
      </c>
      <c r="E974">
        <v>1817800510</v>
      </c>
      <c r="G974">
        <f t="shared" si="15"/>
        <v>1813205760</v>
      </c>
    </row>
    <row r="975" spans="1:7" ht="14" x14ac:dyDescent="0.15">
      <c r="A975" s="322">
        <v>1813205780</v>
      </c>
      <c r="B975" s="322" t="s">
        <v>972</v>
      </c>
      <c r="E975">
        <v>1817900110</v>
      </c>
      <c r="G975">
        <f t="shared" si="15"/>
        <v>1813205780</v>
      </c>
    </row>
    <row r="976" spans="1:7" ht="14" x14ac:dyDescent="0.15">
      <c r="A976" s="322">
        <v>1813205781</v>
      </c>
      <c r="B976" s="322" t="s">
        <v>1582</v>
      </c>
      <c r="E976">
        <v>1817900430</v>
      </c>
      <c r="G976">
        <f t="shared" si="15"/>
        <v>1813205781</v>
      </c>
    </row>
    <row r="977" spans="1:7" ht="14" x14ac:dyDescent="0.15">
      <c r="A977" s="322">
        <v>1813211110</v>
      </c>
      <c r="B977" s="322" t="s">
        <v>926</v>
      </c>
      <c r="E977">
        <v>1817900540</v>
      </c>
      <c r="G977">
        <f t="shared" si="15"/>
        <v>1813211110</v>
      </c>
    </row>
    <row r="978" spans="1:7" ht="14" x14ac:dyDescent="0.15">
      <c r="A978" s="322">
        <v>1813211750</v>
      </c>
      <c r="B978" s="322" t="s">
        <v>974</v>
      </c>
      <c r="E978">
        <v>1817900780</v>
      </c>
      <c r="G978">
        <f t="shared" si="15"/>
        <v>1813211750</v>
      </c>
    </row>
    <row r="979" spans="1:7" ht="14" x14ac:dyDescent="0.15">
      <c r="A979" s="322">
        <v>1813213110</v>
      </c>
      <c r="B979" s="322" t="s">
        <v>927</v>
      </c>
      <c r="E979">
        <v>1817900910</v>
      </c>
      <c r="G979">
        <f t="shared" si="15"/>
        <v>1813213110</v>
      </c>
    </row>
    <row r="980" spans="1:7" ht="14" x14ac:dyDescent="0.15">
      <c r="A980" s="322">
        <v>1813213210</v>
      </c>
      <c r="B980" s="322" t="s">
        <v>928</v>
      </c>
      <c r="E980">
        <v>1817900930</v>
      </c>
      <c r="G980">
        <f t="shared" si="15"/>
        <v>1813213210</v>
      </c>
    </row>
    <row r="981" spans="1:7" ht="14" x14ac:dyDescent="0.15">
      <c r="A981" s="322">
        <v>1813214110</v>
      </c>
      <c r="B981" s="322" t="s">
        <v>162</v>
      </c>
      <c r="E981">
        <v>1817904110</v>
      </c>
      <c r="G981">
        <f t="shared" si="15"/>
        <v>1813214110</v>
      </c>
    </row>
    <row r="982" spans="1:7" ht="14" x14ac:dyDescent="0.15">
      <c r="A982" s="322">
        <v>1813300430</v>
      </c>
      <c r="B982" s="322" t="s">
        <v>975</v>
      </c>
      <c r="E982">
        <v>1817922780</v>
      </c>
      <c r="G982">
        <f t="shared" si="15"/>
        <v>1813300430</v>
      </c>
    </row>
    <row r="983" spans="1:7" ht="14" x14ac:dyDescent="0.15">
      <c r="A983" s="322">
        <v>1813300721</v>
      </c>
      <c r="B983" s="322" t="s">
        <v>976</v>
      </c>
      <c r="E983">
        <v>1817950210</v>
      </c>
      <c r="G983">
        <f t="shared" si="15"/>
        <v>1813300721</v>
      </c>
    </row>
    <row r="984" spans="1:7" ht="14" x14ac:dyDescent="0.15">
      <c r="A984" s="322">
        <v>1813300780</v>
      </c>
      <c r="B984" s="322" t="s">
        <v>977</v>
      </c>
      <c r="E984">
        <v>1817950430</v>
      </c>
      <c r="G984">
        <f t="shared" si="15"/>
        <v>1813300780</v>
      </c>
    </row>
    <row r="985" spans="1:7" ht="14" x14ac:dyDescent="0.15">
      <c r="A985" s="322">
        <v>1813304110</v>
      </c>
      <c r="B985" s="322" t="s">
        <v>919</v>
      </c>
      <c r="E985">
        <v>1817950540</v>
      </c>
      <c r="G985">
        <f t="shared" si="15"/>
        <v>1813304110</v>
      </c>
    </row>
    <row r="986" spans="1:7" ht="14" x14ac:dyDescent="0.15">
      <c r="A986" s="322">
        <v>1813305110</v>
      </c>
      <c r="B986" s="322" t="s">
        <v>929</v>
      </c>
      <c r="E986">
        <v>1817950750</v>
      </c>
      <c r="G986">
        <f t="shared" si="15"/>
        <v>1813305110</v>
      </c>
    </row>
    <row r="987" spans="1:7" ht="14" x14ac:dyDescent="0.15">
      <c r="A987" s="322">
        <v>1813311750</v>
      </c>
      <c r="B987" s="322" t="s">
        <v>978</v>
      </c>
      <c r="E987">
        <v>1817950780</v>
      </c>
      <c r="G987">
        <f t="shared" si="15"/>
        <v>1813311750</v>
      </c>
    </row>
    <row r="988" spans="1:7" ht="14" x14ac:dyDescent="0.15">
      <c r="A988" s="322">
        <v>1813313110</v>
      </c>
      <c r="B988" s="322" t="s">
        <v>930</v>
      </c>
      <c r="E988">
        <v>1817950980</v>
      </c>
      <c r="G988">
        <f t="shared" si="15"/>
        <v>1813313110</v>
      </c>
    </row>
    <row r="989" spans="1:7" ht="14" x14ac:dyDescent="0.15">
      <c r="A989" s="322">
        <v>1813313210</v>
      </c>
      <c r="B989" s="322" t="s">
        <v>931</v>
      </c>
      <c r="E989">
        <v>1817951110</v>
      </c>
      <c r="G989">
        <f t="shared" si="15"/>
        <v>1813313210</v>
      </c>
    </row>
    <row r="990" spans="1:7" ht="14" x14ac:dyDescent="0.15">
      <c r="A990" s="322">
        <v>1813317780</v>
      </c>
      <c r="B990" s="322" t="s">
        <v>289</v>
      </c>
      <c r="E990">
        <v>1817960110</v>
      </c>
      <c r="G990">
        <f t="shared" si="15"/>
        <v>1813317780</v>
      </c>
    </row>
    <row r="991" spans="1:7" ht="14" x14ac:dyDescent="0.15">
      <c r="A991" s="322">
        <v>1813700750</v>
      </c>
      <c r="B991" s="322" t="s">
        <v>979</v>
      </c>
      <c r="E991">
        <v>1817960430</v>
      </c>
      <c r="G991">
        <f t="shared" si="15"/>
        <v>1813700750</v>
      </c>
    </row>
    <row r="992" spans="1:7" ht="14" x14ac:dyDescent="0.15">
      <c r="A992" s="322">
        <v>1813700780</v>
      </c>
      <c r="B992" s="322" t="s">
        <v>1491</v>
      </c>
      <c r="E992">
        <v>1817960540</v>
      </c>
      <c r="G992">
        <f t="shared" si="15"/>
        <v>1813700780</v>
      </c>
    </row>
    <row r="993" spans="1:7" ht="14" x14ac:dyDescent="0.15">
      <c r="A993" s="322">
        <v>1813705110</v>
      </c>
      <c r="B993" s="322" t="s">
        <v>932</v>
      </c>
      <c r="E993">
        <v>1817960780</v>
      </c>
      <c r="G993">
        <f t="shared" si="15"/>
        <v>1813705110</v>
      </c>
    </row>
    <row r="994" spans="1:7" ht="14" x14ac:dyDescent="0.15">
      <c r="A994" s="322">
        <v>1815200810</v>
      </c>
      <c r="B994" s="322" t="s">
        <v>981</v>
      </c>
      <c r="E994">
        <v>1817960781</v>
      </c>
      <c r="G994">
        <f t="shared" si="15"/>
        <v>1815200810</v>
      </c>
    </row>
    <row r="995" spans="1:7" ht="14" x14ac:dyDescent="0.15">
      <c r="A995" s="322">
        <v>1815700810</v>
      </c>
      <c r="B995" s="322" t="s">
        <v>982</v>
      </c>
      <c r="E995">
        <v>1817961110</v>
      </c>
      <c r="G995">
        <f t="shared" si="15"/>
        <v>1815700810</v>
      </c>
    </row>
    <row r="996" spans="1:7" ht="14" x14ac:dyDescent="0.15">
      <c r="A996" s="322">
        <v>1815701110</v>
      </c>
      <c r="B996" s="322" t="s">
        <v>163</v>
      </c>
      <c r="E996">
        <v>1819950210</v>
      </c>
      <c r="G996" t="e">
        <f t="shared" si="15"/>
        <v>#N/A</v>
      </c>
    </row>
    <row r="997" spans="1:7" ht="14" x14ac:dyDescent="0.15">
      <c r="A997" s="322">
        <v>1815701810</v>
      </c>
      <c r="B997" s="322" t="s">
        <v>983</v>
      </c>
      <c r="E997">
        <v>1819951210</v>
      </c>
      <c r="G997">
        <f t="shared" si="15"/>
        <v>1815701810</v>
      </c>
    </row>
    <row r="998" spans="1:7" ht="14" x14ac:dyDescent="0.15">
      <c r="A998" s="322">
        <v>1815730422</v>
      </c>
      <c r="B998" s="322" t="s">
        <v>984</v>
      </c>
      <c r="E998">
        <v>1819999110</v>
      </c>
      <c r="G998" t="e">
        <f t="shared" si="15"/>
        <v>#N/A</v>
      </c>
    </row>
    <row r="999" spans="1:7" ht="14" x14ac:dyDescent="0.15">
      <c r="A999" s="322">
        <v>1815777780</v>
      </c>
      <c r="B999" s="322" t="s">
        <v>985</v>
      </c>
      <c r="E999">
        <v>1819999210</v>
      </c>
      <c r="G999">
        <f t="shared" si="15"/>
        <v>1815777780</v>
      </c>
    </row>
    <row r="1000" spans="1:7" ht="14" x14ac:dyDescent="0.15">
      <c r="A1000" s="322">
        <v>1815777781</v>
      </c>
      <c r="B1000" s="322" t="s">
        <v>985</v>
      </c>
      <c r="E1000">
        <v>1819999780</v>
      </c>
      <c r="G1000">
        <f t="shared" si="15"/>
        <v>1815777781</v>
      </c>
    </row>
    <row r="1001" spans="1:7" ht="14" x14ac:dyDescent="0.15">
      <c r="A1001" s="322">
        <v>1815788110</v>
      </c>
      <c r="B1001" s="322" t="s">
        <v>933</v>
      </c>
      <c r="E1001">
        <v>1819999999</v>
      </c>
      <c r="G1001" t="e">
        <f t="shared" si="15"/>
        <v>#N/A</v>
      </c>
    </row>
    <row r="1002" spans="1:7" ht="14" x14ac:dyDescent="0.15">
      <c r="A1002" s="322">
        <v>1815788780</v>
      </c>
      <c r="B1002" s="322" t="s">
        <v>986</v>
      </c>
      <c r="E1002" s="182"/>
      <c r="G1002">
        <f t="shared" si="15"/>
        <v>1815788780</v>
      </c>
    </row>
    <row r="1003" spans="1:7" ht="14" x14ac:dyDescent="0.15">
      <c r="A1003" s="322">
        <v>1815788781</v>
      </c>
      <c r="B1003" s="322" t="s">
        <v>292</v>
      </c>
      <c r="E1003" s="182">
        <v>1822000110</v>
      </c>
      <c r="G1003">
        <f t="shared" si="15"/>
        <v>1815788781</v>
      </c>
    </row>
    <row r="1004" spans="1:7" ht="14" x14ac:dyDescent="0.15">
      <c r="A1004" s="322">
        <v>1817000780</v>
      </c>
      <c r="B1004" s="322" t="s">
        <v>2161</v>
      </c>
      <c r="E1004">
        <v>1822000750</v>
      </c>
      <c r="G1004">
        <f t="shared" si="15"/>
        <v>1817000780</v>
      </c>
    </row>
    <row r="1005" spans="1:7" ht="14" x14ac:dyDescent="0.15">
      <c r="A1005" s="322">
        <v>1817000980</v>
      </c>
      <c r="B1005" s="322" t="s">
        <v>987</v>
      </c>
      <c r="E1005">
        <v>1822000780</v>
      </c>
      <c r="G1005">
        <f t="shared" si="15"/>
        <v>1817000980</v>
      </c>
    </row>
    <row r="1006" spans="1:7" ht="14" x14ac:dyDescent="0.15">
      <c r="A1006" s="322">
        <v>1817100110</v>
      </c>
      <c r="B1006" s="322" t="s">
        <v>934</v>
      </c>
      <c r="E1006">
        <v>1822000781</v>
      </c>
      <c r="G1006">
        <f t="shared" si="15"/>
        <v>1817100110</v>
      </c>
    </row>
    <row r="1007" spans="1:7" ht="14" x14ac:dyDescent="0.15">
      <c r="A1007" s="322">
        <v>1817100750</v>
      </c>
      <c r="B1007" s="322" t="s">
        <v>988</v>
      </c>
      <c r="E1007">
        <v>1822000782</v>
      </c>
      <c r="G1007">
        <f t="shared" si="15"/>
        <v>1817100750</v>
      </c>
    </row>
    <row r="1008" spans="1:7" ht="14" x14ac:dyDescent="0.15">
      <c r="A1008" s="322">
        <v>1817200110</v>
      </c>
      <c r="B1008" s="322" t="s">
        <v>1490</v>
      </c>
      <c r="E1008">
        <v>1822000783</v>
      </c>
      <c r="G1008">
        <f t="shared" si="15"/>
        <v>1817200110</v>
      </c>
    </row>
    <row r="1009" spans="1:7" ht="14" x14ac:dyDescent="0.15">
      <c r="A1009" s="322">
        <v>1817200540</v>
      </c>
      <c r="B1009" s="322" t="s">
        <v>989</v>
      </c>
      <c r="E1009">
        <v>1822000784</v>
      </c>
      <c r="G1009">
        <f t="shared" si="15"/>
        <v>1817200540</v>
      </c>
    </row>
    <row r="1010" spans="1:7" ht="14" x14ac:dyDescent="0.15">
      <c r="A1010" s="322">
        <v>1817200780</v>
      </c>
      <c r="B1010" s="322" t="s">
        <v>990</v>
      </c>
      <c r="E1010">
        <v>1822000785</v>
      </c>
      <c r="G1010">
        <f t="shared" si="15"/>
        <v>1817200780</v>
      </c>
    </row>
    <row r="1011" spans="1:7" ht="14" x14ac:dyDescent="0.15">
      <c r="A1011" s="322">
        <v>1817300110</v>
      </c>
      <c r="B1011" s="322" t="s">
        <v>523</v>
      </c>
      <c r="E1011">
        <v>1822000786</v>
      </c>
      <c r="G1011">
        <f t="shared" si="15"/>
        <v>1817300110</v>
      </c>
    </row>
    <row r="1012" spans="1:7" ht="14" x14ac:dyDescent="0.15">
      <c r="A1012" s="322">
        <v>1817300430</v>
      </c>
      <c r="B1012" s="322" t="s">
        <v>839</v>
      </c>
      <c r="E1012">
        <v>1822000788</v>
      </c>
      <c r="G1012">
        <f t="shared" si="15"/>
        <v>1817300430</v>
      </c>
    </row>
    <row r="1013" spans="1:7" ht="14" x14ac:dyDescent="0.15">
      <c r="A1013" s="322">
        <v>1817300470</v>
      </c>
      <c r="B1013" s="322" t="s">
        <v>820</v>
      </c>
      <c r="E1013">
        <v>1822300780</v>
      </c>
      <c r="G1013">
        <f t="shared" si="15"/>
        <v>1817300470</v>
      </c>
    </row>
    <row r="1014" spans="1:7" ht="14" x14ac:dyDescent="0.15">
      <c r="A1014" s="322">
        <v>1817300511</v>
      </c>
      <c r="B1014" s="322" t="s">
        <v>697</v>
      </c>
      <c r="E1014">
        <v>1822300781</v>
      </c>
      <c r="G1014">
        <f t="shared" si="15"/>
        <v>1817300511</v>
      </c>
    </row>
    <row r="1015" spans="1:7" ht="14" x14ac:dyDescent="0.15">
      <c r="A1015" s="322">
        <v>1817300521</v>
      </c>
      <c r="B1015" s="322" t="s">
        <v>991</v>
      </c>
      <c r="E1015">
        <v>1822300782</v>
      </c>
      <c r="G1015">
        <f t="shared" si="15"/>
        <v>1817300521</v>
      </c>
    </row>
    <row r="1016" spans="1:7" ht="14" x14ac:dyDescent="0.15">
      <c r="A1016" s="322">
        <v>1817300540</v>
      </c>
      <c r="B1016" s="322" t="s">
        <v>875</v>
      </c>
      <c r="E1016">
        <v>1822300980</v>
      </c>
      <c r="G1016">
        <f t="shared" si="15"/>
        <v>1817300540</v>
      </c>
    </row>
    <row r="1017" spans="1:7" ht="14" x14ac:dyDescent="0.15">
      <c r="A1017" s="322">
        <v>1817300581</v>
      </c>
      <c r="B1017" s="322" t="s">
        <v>1938</v>
      </c>
      <c r="E1017">
        <v>1822800780</v>
      </c>
      <c r="G1017">
        <f t="shared" si="15"/>
        <v>1817300581</v>
      </c>
    </row>
    <row r="1018" spans="1:7" ht="14" x14ac:dyDescent="0.15">
      <c r="A1018" s="322">
        <v>1817300720</v>
      </c>
      <c r="B1018" s="322" t="s">
        <v>689</v>
      </c>
      <c r="E1018">
        <v>1823000110</v>
      </c>
      <c r="G1018">
        <f t="shared" si="15"/>
        <v>1817300720</v>
      </c>
    </row>
    <row r="1019" spans="1:7" ht="14" x14ac:dyDescent="0.15">
      <c r="A1019" s="322">
        <v>1817300750</v>
      </c>
      <c r="B1019" s="322" t="s">
        <v>714</v>
      </c>
      <c r="E1019">
        <v>1823000210</v>
      </c>
      <c r="G1019">
        <f t="shared" si="15"/>
        <v>1817300750</v>
      </c>
    </row>
    <row r="1020" spans="1:7" ht="14" x14ac:dyDescent="0.15">
      <c r="A1020" s="322">
        <v>1817300780</v>
      </c>
      <c r="B1020" s="322" t="s">
        <v>580</v>
      </c>
      <c r="E1020">
        <v>1823000430</v>
      </c>
      <c r="G1020">
        <f t="shared" si="15"/>
        <v>1817300780</v>
      </c>
    </row>
    <row r="1021" spans="1:7" ht="14" x14ac:dyDescent="0.15">
      <c r="A1021" s="322">
        <v>1817300930</v>
      </c>
      <c r="B1021" s="322" t="s">
        <v>1887</v>
      </c>
      <c r="E1021">
        <v>1823000511</v>
      </c>
      <c r="G1021">
        <f t="shared" si="15"/>
        <v>1817300930</v>
      </c>
    </row>
    <row r="1022" spans="1:7" ht="14" x14ac:dyDescent="0.15">
      <c r="A1022" s="322">
        <v>1817304110</v>
      </c>
      <c r="B1022" s="322" t="s">
        <v>936</v>
      </c>
      <c r="E1022">
        <v>1823000520</v>
      </c>
      <c r="G1022">
        <f t="shared" si="15"/>
        <v>1817304110</v>
      </c>
    </row>
    <row r="1023" spans="1:7" ht="14" x14ac:dyDescent="0.15">
      <c r="A1023" s="322">
        <v>1817311110</v>
      </c>
      <c r="B1023" s="322" t="s">
        <v>937</v>
      </c>
      <c r="E1023">
        <v>1823000540</v>
      </c>
      <c r="G1023" t="e">
        <f t="shared" si="15"/>
        <v>#N/A</v>
      </c>
    </row>
    <row r="1024" spans="1:7" ht="14" x14ac:dyDescent="0.15">
      <c r="A1024" s="322">
        <v>1817500760</v>
      </c>
      <c r="B1024" s="322" t="s">
        <v>992</v>
      </c>
      <c r="E1024">
        <v>1823000560</v>
      </c>
      <c r="G1024">
        <f t="shared" si="15"/>
        <v>1817500760</v>
      </c>
    </row>
    <row r="1025" spans="1:7" ht="14" x14ac:dyDescent="0.15">
      <c r="A1025" s="322">
        <v>1817600110</v>
      </c>
      <c r="B1025" s="322" t="s">
        <v>523</v>
      </c>
      <c r="E1025">
        <v>1823000570</v>
      </c>
      <c r="G1025">
        <f t="shared" si="15"/>
        <v>1817600110</v>
      </c>
    </row>
    <row r="1026" spans="1:7" ht="14" x14ac:dyDescent="0.15">
      <c r="A1026" s="322">
        <v>1817600980</v>
      </c>
      <c r="B1026" s="322" t="s">
        <v>993</v>
      </c>
      <c r="E1026">
        <v>1823000581</v>
      </c>
      <c r="G1026">
        <f t="shared" si="15"/>
        <v>1817600980</v>
      </c>
    </row>
    <row r="1027" spans="1:7" ht="14" x14ac:dyDescent="0.15">
      <c r="A1027" s="322">
        <v>1817622110</v>
      </c>
      <c r="B1027" s="322" t="s">
        <v>167</v>
      </c>
      <c r="E1027">
        <v>1823000731</v>
      </c>
      <c r="G1027" t="e">
        <f t="shared" ref="G1027:G1090" si="16">VLOOKUP(A1027,$E$2:$E$1373,1,FALSE)</f>
        <v>#N/A</v>
      </c>
    </row>
    <row r="1028" spans="1:7" ht="14" x14ac:dyDescent="0.15">
      <c r="A1028" s="322">
        <v>1817622210</v>
      </c>
      <c r="B1028" s="322" t="s">
        <v>938</v>
      </c>
      <c r="E1028">
        <v>1823000740</v>
      </c>
      <c r="G1028">
        <f t="shared" si="16"/>
        <v>1817622210</v>
      </c>
    </row>
    <row r="1029" spans="1:7" ht="14" x14ac:dyDescent="0.15">
      <c r="A1029" s="322">
        <v>1817700110</v>
      </c>
      <c r="B1029" s="322" t="s">
        <v>939</v>
      </c>
      <c r="E1029">
        <v>1823000750</v>
      </c>
      <c r="G1029">
        <f t="shared" si="16"/>
        <v>1817700110</v>
      </c>
    </row>
    <row r="1030" spans="1:7" ht="14" x14ac:dyDescent="0.15">
      <c r="A1030" s="322">
        <v>1817700780</v>
      </c>
      <c r="B1030" s="322" t="s">
        <v>388</v>
      </c>
      <c r="E1030">
        <v>1823000780</v>
      </c>
      <c r="G1030">
        <f t="shared" si="16"/>
        <v>1817700780</v>
      </c>
    </row>
    <row r="1031" spans="1:7" ht="14" x14ac:dyDescent="0.15">
      <c r="A1031" s="322">
        <v>1817701110</v>
      </c>
      <c r="B1031" s="322" t="s">
        <v>940</v>
      </c>
      <c r="E1031">
        <v>1823000930</v>
      </c>
      <c r="G1031">
        <f t="shared" si="16"/>
        <v>1817701110</v>
      </c>
    </row>
    <row r="1032" spans="1:7" ht="14" x14ac:dyDescent="0.15">
      <c r="A1032" s="322">
        <v>1817710110</v>
      </c>
      <c r="B1032" s="322" t="s">
        <v>941</v>
      </c>
      <c r="E1032">
        <v>1824000810</v>
      </c>
      <c r="G1032">
        <f t="shared" si="16"/>
        <v>1817710110</v>
      </c>
    </row>
    <row r="1033" spans="1:7" ht="14" x14ac:dyDescent="0.15">
      <c r="A1033" s="322">
        <v>1817710721</v>
      </c>
      <c r="B1033" s="322" t="s">
        <v>994</v>
      </c>
      <c r="E1033">
        <v>1824000811</v>
      </c>
      <c r="G1033">
        <f t="shared" si="16"/>
        <v>1817710721</v>
      </c>
    </row>
    <row r="1034" spans="1:7" ht="14" x14ac:dyDescent="0.15">
      <c r="A1034" s="322">
        <v>1817711110</v>
      </c>
      <c r="B1034" s="322" t="s">
        <v>942</v>
      </c>
      <c r="E1034">
        <v>1824000812</v>
      </c>
      <c r="G1034">
        <f t="shared" si="16"/>
        <v>1817711110</v>
      </c>
    </row>
    <row r="1035" spans="1:7" ht="14" x14ac:dyDescent="0.15">
      <c r="A1035" s="322">
        <v>1817727110</v>
      </c>
      <c r="B1035" s="322" t="s">
        <v>943</v>
      </c>
      <c r="E1035">
        <v>1824000813</v>
      </c>
      <c r="G1035">
        <f t="shared" si="16"/>
        <v>1817727110</v>
      </c>
    </row>
    <row r="1036" spans="1:7" ht="14" x14ac:dyDescent="0.15">
      <c r="A1036" s="322">
        <v>1817728110</v>
      </c>
      <c r="B1036" s="322" t="s">
        <v>944</v>
      </c>
      <c r="E1036">
        <v>1824000814</v>
      </c>
      <c r="G1036">
        <f t="shared" si="16"/>
        <v>1817728110</v>
      </c>
    </row>
    <row r="1037" spans="1:7" ht="14" x14ac:dyDescent="0.15">
      <c r="A1037" s="322">
        <v>1817800110</v>
      </c>
      <c r="B1037" s="322" t="s">
        <v>1159</v>
      </c>
      <c r="E1037">
        <v>1824000816</v>
      </c>
      <c r="G1037">
        <f t="shared" si="16"/>
        <v>1817800110</v>
      </c>
    </row>
    <row r="1038" spans="1:7" ht="14" x14ac:dyDescent="0.15">
      <c r="A1038" s="322">
        <v>1817800210</v>
      </c>
      <c r="B1038" s="322" t="s">
        <v>945</v>
      </c>
      <c r="E1038">
        <v>1824000817</v>
      </c>
      <c r="G1038">
        <f t="shared" si="16"/>
        <v>1817800210</v>
      </c>
    </row>
    <row r="1039" spans="1:7" ht="14" x14ac:dyDescent="0.15">
      <c r="A1039" s="322">
        <v>1817800510</v>
      </c>
      <c r="B1039" s="322" t="s">
        <v>995</v>
      </c>
      <c r="E1039">
        <v>1824000818</v>
      </c>
      <c r="G1039">
        <f t="shared" si="16"/>
        <v>1817800510</v>
      </c>
    </row>
    <row r="1040" spans="1:7" ht="14" x14ac:dyDescent="0.15">
      <c r="A1040" s="322">
        <v>1817900110</v>
      </c>
      <c r="B1040" s="322" t="s">
        <v>523</v>
      </c>
      <c r="E1040">
        <v>1825000530</v>
      </c>
      <c r="G1040">
        <f t="shared" si="16"/>
        <v>1817900110</v>
      </c>
    </row>
    <row r="1041" spans="1:7" ht="14" x14ac:dyDescent="0.15">
      <c r="A1041" s="322">
        <v>1817900430</v>
      </c>
      <c r="B1041" s="322" t="s">
        <v>996</v>
      </c>
      <c r="E1041">
        <v>1825200110</v>
      </c>
      <c r="G1041">
        <f t="shared" si="16"/>
        <v>1817900430</v>
      </c>
    </row>
    <row r="1042" spans="1:7" ht="14" x14ac:dyDescent="0.15">
      <c r="A1042" s="322">
        <v>1817900540</v>
      </c>
      <c r="B1042" s="322" t="s">
        <v>997</v>
      </c>
      <c r="E1042">
        <v>1825200210</v>
      </c>
      <c r="G1042">
        <f t="shared" si="16"/>
        <v>1817900540</v>
      </c>
    </row>
    <row r="1043" spans="1:7" ht="14" x14ac:dyDescent="0.15">
      <c r="A1043" s="322">
        <v>1817900780</v>
      </c>
      <c r="B1043" s="322" t="s">
        <v>580</v>
      </c>
      <c r="E1043">
        <v>1825200420</v>
      </c>
      <c r="G1043">
        <f t="shared" si="16"/>
        <v>1817900780</v>
      </c>
    </row>
    <row r="1044" spans="1:7" ht="14" x14ac:dyDescent="0.15">
      <c r="A1044" s="322">
        <v>1817900910</v>
      </c>
      <c r="B1044" s="322" t="s">
        <v>704</v>
      </c>
      <c r="E1044">
        <v>1825200430</v>
      </c>
      <c r="G1044">
        <f t="shared" si="16"/>
        <v>1817900910</v>
      </c>
    </row>
    <row r="1045" spans="1:7" ht="14" x14ac:dyDescent="0.15">
      <c r="A1045" s="322">
        <v>1817900930</v>
      </c>
      <c r="B1045" s="322" t="s">
        <v>579</v>
      </c>
      <c r="E1045">
        <v>1825200433</v>
      </c>
      <c r="G1045">
        <f t="shared" si="16"/>
        <v>1817900930</v>
      </c>
    </row>
    <row r="1046" spans="1:7" ht="14" x14ac:dyDescent="0.15">
      <c r="A1046" s="322">
        <v>1817904110</v>
      </c>
      <c r="B1046" s="322" t="s">
        <v>946</v>
      </c>
      <c r="E1046">
        <v>1825200450</v>
      </c>
      <c r="G1046">
        <f t="shared" si="16"/>
        <v>1817904110</v>
      </c>
    </row>
    <row r="1047" spans="1:7" ht="14" x14ac:dyDescent="0.15">
      <c r="A1047" s="322">
        <v>1817922780</v>
      </c>
      <c r="B1047" s="322" t="s">
        <v>998</v>
      </c>
      <c r="E1047">
        <v>1825200470</v>
      </c>
      <c r="G1047">
        <f t="shared" si="16"/>
        <v>1817922780</v>
      </c>
    </row>
    <row r="1048" spans="1:7" ht="14" x14ac:dyDescent="0.15">
      <c r="A1048" s="322">
        <v>1817950210</v>
      </c>
      <c r="B1048" s="322" t="s">
        <v>947</v>
      </c>
      <c r="E1048">
        <v>1825200511</v>
      </c>
      <c r="G1048">
        <f t="shared" si="16"/>
        <v>1817950210</v>
      </c>
    </row>
    <row r="1049" spans="1:7" ht="14" x14ac:dyDescent="0.15">
      <c r="A1049" s="322">
        <v>1817950430</v>
      </c>
      <c r="B1049" s="322" t="s">
        <v>999</v>
      </c>
      <c r="E1049">
        <v>1825200512</v>
      </c>
      <c r="G1049">
        <f t="shared" si="16"/>
        <v>1817950430</v>
      </c>
    </row>
    <row r="1050" spans="1:7" ht="14" x14ac:dyDescent="0.15">
      <c r="A1050" s="322">
        <v>1817950540</v>
      </c>
      <c r="B1050" s="322" t="s">
        <v>1000</v>
      </c>
      <c r="E1050">
        <v>1825200520</v>
      </c>
      <c r="G1050">
        <f t="shared" si="16"/>
        <v>1817950540</v>
      </c>
    </row>
    <row r="1051" spans="1:7" ht="14" x14ac:dyDescent="0.15">
      <c r="A1051" s="322">
        <v>1817950750</v>
      </c>
      <c r="B1051" s="322" t="s">
        <v>1001</v>
      </c>
      <c r="E1051">
        <v>1825200540</v>
      </c>
      <c r="G1051">
        <f t="shared" si="16"/>
        <v>1817950750</v>
      </c>
    </row>
    <row r="1052" spans="1:7" ht="14" x14ac:dyDescent="0.15">
      <c r="A1052" s="322">
        <v>1817950780</v>
      </c>
      <c r="B1052" s="322" t="s">
        <v>172</v>
      </c>
      <c r="E1052">
        <v>1825200550</v>
      </c>
      <c r="G1052">
        <f t="shared" si="16"/>
        <v>1817950780</v>
      </c>
    </row>
    <row r="1053" spans="1:7" ht="14" x14ac:dyDescent="0.15">
      <c r="A1053" s="322">
        <v>1817950980</v>
      </c>
      <c r="B1053" s="322" t="s">
        <v>1002</v>
      </c>
      <c r="E1053">
        <v>1825200560</v>
      </c>
      <c r="G1053">
        <f t="shared" si="16"/>
        <v>1817950980</v>
      </c>
    </row>
    <row r="1054" spans="1:7" ht="14" x14ac:dyDescent="0.15">
      <c r="A1054" s="322">
        <v>1817951110</v>
      </c>
      <c r="B1054" s="322" t="s">
        <v>948</v>
      </c>
      <c r="E1054">
        <v>1825200570</v>
      </c>
      <c r="G1054">
        <f t="shared" si="16"/>
        <v>1817951110</v>
      </c>
    </row>
    <row r="1055" spans="1:7" ht="14" x14ac:dyDescent="0.15">
      <c r="A1055" s="322">
        <v>1817960110</v>
      </c>
      <c r="B1055" s="322" t="s">
        <v>949</v>
      </c>
      <c r="E1055">
        <v>1825200581</v>
      </c>
      <c r="G1055">
        <f t="shared" si="16"/>
        <v>1817960110</v>
      </c>
    </row>
    <row r="1056" spans="1:7" ht="14" x14ac:dyDescent="0.15">
      <c r="A1056" s="322">
        <v>1817960430</v>
      </c>
      <c r="B1056" s="322" t="s">
        <v>1003</v>
      </c>
      <c r="E1056">
        <v>1825200720</v>
      </c>
      <c r="G1056">
        <f t="shared" si="16"/>
        <v>1817960430</v>
      </c>
    </row>
    <row r="1057" spans="1:7" ht="14" x14ac:dyDescent="0.15">
      <c r="A1057" s="322">
        <v>1817960540</v>
      </c>
      <c r="B1057" s="322" t="s">
        <v>1004</v>
      </c>
      <c r="E1057">
        <v>1825200732</v>
      </c>
      <c r="G1057">
        <f t="shared" si="16"/>
        <v>1817960540</v>
      </c>
    </row>
    <row r="1058" spans="1:7" ht="14" x14ac:dyDescent="0.15">
      <c r="A1058" s="322">
        <v>1817960780</v>
      </c>
      <c r="B1058" s="322" t="s">
        <v>1005</v>
      </c>
      <c r="E1058">
        <v>1825200740</v>
      </c>
      <c r="G1058">
        <f t="shared" si="16"/>
        <v>1817960780</v>
      </c>
    </row>
    <row r="1059" spans="1:7" ht="14" x14ac:dyDescent="0.15">
      <c r="A1059" s="322">
        <v>1817960781</v>
      </c>
      <c r="B1059" s="322" t="s">
        <v>1006</v>
      </c>
      <c r="E1059">
        <v>1825200750</v>
      </c>
      <c r="G1059">
        <f t="shared" si="16"/>
        <v>1817960781</v>
      </c>
    </row>
    <row r="1060" spans="1:7" ht="14" x14ac:dyDescent="0.15">
      <c r="A1060" s="322">
        <v>1817961110</v>
      </c>
      <c r="B1060" s="322" t="s">
        <v>950</v>
      </c>
      <c r="E1060">
        <v>1825200760</v>
      </c>
      <c r="G1060">
        <f t="shared" si="16"/>
        <v>1817961110</v>
      </c>
    </row>
    <row r="1061" spans="1:7" ht="14" x14ac:dyDescent="0.15">
      <c r="A1061" s="322">
        <v>1817962110</v>
      </c>
      <c r="B1061" s="322" t="s">
        <v>951</v>
      </c>
      <c r="E1061">
        <v>1825200780</v>
      </c>
      <c r="G1061" t="e">
        <f t="shared" si="16"/>
        <v>#N/A</v>
      </c>
    </row>
    <row r="1062" spans="1:7" ht="14" x14ac:dyDescent="0.15">
      <c r="A1062" s="322">
        <v>1819950210</v>
      </c>
      <c r="B1062" s="322" t="s">
        <v>1248</v>
      </c>
      <c r="E1062">
        <v>1825200786</v>
      </c>
      <c r="G1062">
        <f t="shared" si="16"/>
        <v>1819950210</v>
      </c>
    </row>
    <row r="1063" spans="1:7" ht="14" x14ac:dyDescent="0.15">
      <c r="A1063" s="322">
        <v>1819951210</v>
      </c>
      <c r="B1063" s="322" t="s">
        <v>952</v>
      </c>
      <c r="E1063">
        <v>1825200930</v>
      </c>
      <c r="G1063">
        <f t="shared" si="16"/>
        <v>1819951210</v>
      </c>
    </row>
    <row r="1064" spans="1:7" ht="14" x14ac:dyDescent="0.15">
      <c r="A1064" s="322">
        <v>1819999110</v>
      </c>
      <c r="B1064" s="322" t="s">
        <v>919</v>
      </c>
      <c r="E1064">
        <v>1826200830</v>
      </c>
      <c r="G1064">
        <f t="shared" si="16"/>
        <v>1819999110</v>
      </c>
    </row>
    <row r="1065" spans="1:7" ht="14" x14ac:dyDescent="0.15">
      <c r="A1065" s="322">
        <v>1819999210</v>
      </c>
      <c r="B1065" s="322" t="s">
        <v>1489</v>
      </c>
      <c r="E1065">
        <v>1826400410</v>
      </c>
      <c r="G1065">
        <f t="shared" si="16"/>
        <v>1819999210</v>
      </c>
    </row>
    <row r="1066" spans="1:7" ht="14" x14ac:dyDescent="0.15">
      <c r="A1066" s="322">
        <v>1819999780</v>
      </c>
      <c r="B1066" s="322" t="s">
        <v>1007</v>
      </c>
      <c r="E1066">
        <v>1826400430</v>
      </c>
      <c r="G1066">
        <f t="shared" si="16"/>
        <v>1819999780</v>
      </c>
    </row>
    <row r="1067" spans="1:7" ht="14" x14ac:dyDescent="0.15">
      <c r="A1067" s="322">
        <v>1819999999</v>
      </c>
      <c r="B1067" s="322" t="s">
        <v>173</v>
      </c>
      <c r="E1067">
        <v>1826400540</v>
      </c>
      <c r="G1067">
        <f t="shared" si="16"/>
        <v>1819999999</v>
      </c>
    </row>
    <row r="1068" spans="1:7" ht="14" x14ac:dyDescent="0.15">
      <c r="A1068" s="322">
        <v>1822000110</v>
      </c>
      <c r="B1068" s="322" t="s">
        <v>1150</v>
      </c>
      <c r="E1068">
        <v>1826500581</v>
      </c>
      <c r="G1068">
        <f t="shared" si="16"/>
        <v>1822000110</v>
      </c>
    </row>
    <row r="1069" spans="1:7" ht="14" x14ac:dyDescent="0.15">
      <c r="A1069" s="322">
        <v>1822000750</v>
      </c>
      <c r="B1069" s="322" t="s">
        <v>828</v>
      </c>
      <c r="E1069">
        <v>1826500780</v>
      </c>
      <c r="G1069">
        <f t="shared" si="16"/>
        <v>1822000750</v>
      </c>
    </row>
    <row r="1070" spans="1:7" ht="14" x14ac:dyDescent="0.15">
      <c r="A1070" s="322">
        <v>1822000780</v>
      </c>
      <c r="B1070" s="322" t="s">
        <v>829</v>
      </c>
      <c r="E1070">
        <v>1829200750</v>
      </c>
      <c r="G1070">
        <f t="shared" si="16"/>
        <v>1822000780</v>
      </c>
    </row>
    <row r="1071" spans="1:7" ht="14" x14ac:dyDescent="0.15">
      <c r="A1071" s="322">
        <v>1822000781</v>
      </c>
      <c r="B1071" s="322" t="s">
        <v>830</v>
      </c>
      <c r="E1071">
        <v>1829200751</v>
      </c>
      <c r="G1071">
        <f t="shared" si="16"/>
        <v>1822000781</v>
      </c>
    </row>
    <row r="1072" spans="1:7" ht="14" x14ac:dyDescent="0.15">
      <c r="A1072" s="322">
        <v>1822000782</v>
      </c>
      <c r="B1072" s="322" t="s">
        <v>831</v>
      </c>
      <c r="E1072">
        <v>1829300110</v>
      </c>
      <c r="G1072">
        <f t="shared" si="16"/>
        <v>1822000782</v>
      </c>
    </row>
    <row r="1073" spans="1:7" ht="14" x14ac:dyDescent="0.15">
      <c r="A1073" s="322">
        <v>1822000783</v>
      </c>
      <c r="B1073" s="322" t="s">
        <v>832</v>
      </c>
      <c r="E1073">
        <v>1829300210</v>
      </c>
      <c r="G1073">
        <f t="shared" si="16"/>
        <v>1822000783</v>
      </c>
    </row>
    <row r="1074" spans="1:7" ht="14" x14ac:dyDescent="0.15">
      <c r="A1074" s="322">
        <v>1822000784</v>
      </c>
      <c r="B1074" s="322" t="s">
        <v>833</v>
      </c>
      <c r="E1074">
        <v>1829900110</v>
      </c>
      <c r="G1074">
        <f t="shared" si="16"/>
        <v>1822000784</v>
      </c>
    </row>
    <row r="1075" spans="1:7" ht="14" x14ac:dyDescent="0.15">
      <c r="A1075" s="322">
        <v>1822000785</v>
      </c>
      <c r="B1075" s="322" t="s">
        <v>834</v>
      </c>
      <c r="E1075">
        <v>1829900430</v>
      </c>
      <c r="G1075">
        <f t="shared" si="16"/>
        <v>1822000785</v>
      </c>
    </row>
    <row r="1076" spans="1:7" ht="14" x14ac:dyDescent="0.15">
      <c r="A1076" s="322">
        <v>1822000786</v>
      </c>
      <c r="B1076" s="322" t="s">
        <v>835</v>
      </c>
      <c r="E1076">
        <v>1829900431</v>
      </c>
      <c r="G1076">
        <f t="shared" si="16"/>
        <v>1822000786</v>
      </c>
    </row>
    <row r="1077" spans="1:7" ht="14" x14ac:dyDescent="0.15">
      <c r="A1077" s="322">
        <v>1822000788</v>
      </c>
      <c r="B1077" s="322" t="s">
        <v>174</v>
      </c>
      <c r="E1077">
        <v>1829900750</v>
      </c>
      <c r="G1077">
        <f t="shared" si="16"/>
        <v>1822000788</v>
      </c>
    </row>
    <row r="1078" spans="1:7" ht="14" x14ac:dyDescent="0.15">
      <c r="A1078" s="322">
        <v>1822000822</v>
      </c>
      <c r="B1078" s="322" t="s">
        <v>836</v>
      </c>
      <c r="E1078">
        <v>1829900751</v>
      </c>
      <c r="G1078" t="e">
        <f t="shared" si="16"/>
        <v>#N/A</v>
      </c>
    </row>
    <row r="1079" spans="1:7" ht="14" x14ac:dyDescent="0.15">
      <c r="A1079" s="322">
        <v>1822300780</v>
      </c>
      <c r="B1079" s="322" t="s">
        <v>837</v>
      </c>
      <c r="E1079">
        <v>1829900810</v>
      </c>
      <c r="G1079">
        <f t="shared" si="16"/>
        <v>1822300780</v>
      </c>
    </row>
    <row r="1080" spans="1:7" ht="14" x14ac:dyDescent="0.15">
      <c r="A1080" s="322">
        <v>1822300781</v>
      </c>
      <c r="B1080" s="322" t="s">
        <v>82</v>
      </c>
      <c r="E1080">
        <v>1829900811</v>
      </c>
      <c r="G1080">
        <f t="shared" si="16"/>
        <v>1822300781</v>
      </c>
    </row>
    <row r="1081" spans="1:7" ht="14" x14ac:dyDescent="0.15">
      <c r="A1081" s="322">
        <v>1822300782</v>
      </c>
      <c r="B1081" s="322" t="s">
        <v>1461</v>
      </c>
      <c r="E1081">
        <v>1829900910</v>
      </c>
      <c r="G1081">
        <f t="shared" si="16"/>
        <v>1822300782</v>
      </c>
    </row>
    <row r="1082" spans="1:7" ht="14" x14ac:dyDescent="0.15">
      <c r="A1082" s="322">
        <v>1822300980</v>
      </c>
      <c r="B1082" s="322" t="s">
        <v>2162</v>
      </c>
      <c r="E1082">
        <v>1829910810</v>
      </c>
      <c r="G1082">
        <f t="shared" si="16"/>
        <v>1822300980</v>
      </c>
    </row>
    <row r="1083" spans="1:7" ht="14" x14ac:dyDescent="0.15">
      <c r="A1083" s="322">
        <v>1822800780</v>
      </c>
      <c r="B1083" s="322" t="s">
        <v>838</v>
      </c>
      <c r="E1083" s="182"/>
      <c r="G1083">
        <f t="shared" si="16"/>
        <v>1822800780</v>
      </c>
    </row>
    <row r="1084" spans="1:7" ht="14" x14ac:dyDescent="0.15">
      <c r="A1084" s="322">
        <v>1823000110</v>
      </c>
      <c r="B1084" s="322" t="s">
        <v>523</v>
      </c>
      <c r="E1084" s="182"/>
      <c r="G1084">
        <f t="shared" si="16"/>
        <v>1823000110</v>
      </c>
    </row>
    <row r="1085" spans="1:7" ht="14" x14ac:dyDescent="0.15">
      <c r="A1085" s="322">
        <v>1823000210</v>
      </c>
      <c r="B1085" s="322" t="s">
        <v>244</v>
      </c>
      <c r="E1085" s="182">
        <v>1836100810</v>
      </c>
      <c r="G1085">
        <f t="shared" si="16"/>
        <v>1823000210</v>
      </c>
    </row>
    <row r="1086" spans="1:7" ht="14" x14ac:dyDescent="0.15">
      <c r="A1086" s="322">
        <v>1823000430</v>
      </c>
      <c r="B1086" s="322" t="s">
        <v>839</v>
      </c>
      <c r="E1086" s="182"/>
      <c r="G1086">
        <f t="shared" si="16"/>
        <v>1823000430</v>
      </c>
    </row>
    <row r="1087" spans="1:7" ht="14" x14ac:dyDescent="0.15">
      <c r="A1087" s="322">
        <v>1823000470</v>
      </c>
      <c r="B1087" s="322" t="s">
        <v>840</v>
      </c>
      <c r="E1087">
        <v>1840000910</v>
      </c>
      <c r="G1087" t="e">
        <f t="shared" si="16"/>
        <v>#N/A</v>
      </c>
    </row>
    <row r="1088" spans="1:7" ht="14" x14ac:dyDescent="0.15">
      <c r="A1088" s="322">
        <v>1823000511</v>
      </c>
      <c r="B1088" s="322" t="s">
        <v>2163</v>
      </c>
      <c r="E1088">
        <v>1841000110</v>
      </c>
      <c r="G1088">
        <f t="shared" si="16"/>
        <v>1823000511</v>
      </c>
    </row>
    <row r="1089" spans="1:7" ht="14" x14ac:dyDescent="0.15">
      <c r="A1089" s="322">
        <v>1823000520</v>
      </c>
      <c r="B1089" s="322" t="s">
        <v>841</v>
      </c>
      <c r="E1089">
        <v>1841000210</v>
      </c>
      <c r="G1089">
        <f t="shared" si="16"/>
        <v>1823000520</v>
      </c>
    </row>
    <row r="1090" spans="1:7" ht="14" x14ac:dyDescent="0.15">
      <c r="A1090" s="322">
        <v>1823000522</v>
      </c>
      <c r="B1090" s="322" t="s">
        <v>842</v>
      </c>
      <c r="E1090">
        <v>1841000511</v>
      </c>
      <c r="G1090" t="e">
        <f t="shared" si="16"/>
        <v>#N/A</v>
      </c>
    </row>
    <row r="1091" spans="1:7" ht="14" x14ac:dyDescent="0.15">
      <c r="A1091" s="322">
        <v>1823000540</v>
      </c>
      <c r="B1091" s="322" t="s">
        <v>843</v>
      </c>
      <c r="E1091">
        <v>1841000512</v>
      </c>
      <c r="G1091">
        <f t="shared" ref="G1091:G1154" si="17">VLOOKUP(A1091,$E$2:$E$1373,1,FALSE)</f>
        <v>1823000540</v>
      </c>
    </row>
    <row r="1092" spans="1:7" ht="14" x14ac:dyDescent="0.15">
      <c r="A1092" s="322">
        <v>1823000560</v>
      </c>
      <c r="B1092" s="322" t="s">
        <v>844</v>
      </c>
      <c r="E1092">
        <v>1841000540</v>
      </c>
      <c r="G1092">
        <f t="shared" si="17"/>
        <v>1823000560</v>
      </c>
    </row>
    <row r="1093" spans="1:7" ht="14" x14ac:dyDescent="0.15">
      <c r="A1093" s="322">
        <v>1823000570</v>
      </c>
      <c r="B1093" s="322" t="s">
        <v>1897</v>
      </c>
      <c r="E1093">
        <v>1841000560</v>
      </c>
      <c r="G1093">
        <f t="shared" si="17"/>
        <v>1823000570</v>
      </c>
    </row>
    <row r="1094" spans="1:7" ht="14" x14ac:dyDescent="0.15">
      <c r="A1094" s="322">
        <v>1823000581</v>
      </c>
      <c r="B1094" s="322" t="s">
        <v>2164</v>
      </c>
      <c r="E1094">
        <v>1841000570</v>
      </c>
      <c r="G1094">
        <f t="shared" si="17"/>
        <v>1823000581</v>
      </c>
    </row>
    <row r="1095" spans="1:7" ht="14" x14ac:dyDescent="0.15">
      <c r="A1095" s="322">
        <v>1823000731</v>
      </c>
      <c r="B1095" s="322" t="s">
        <v>1151</v>
      </c>
      <c r="E1095">
        <v>1841000571</v>
      </c>
      <c r="G1095">
        <f t="shared" si="17"/>
        <v>1823000731</v>
      </c>
    </row>
    <row r="1096" spans="1:7" ht="14" x14ac:dyDescent="0.15">
      <c r="A1096" s="322">
        <v>1823000740</v>
      </c>
      <c r="B1096" s="322" t="s">
        <v>845</v>
      </c>
      <c r="E1096">
        <v>1841000580</v>
      </c>
      <c r="G1096">
        <f t="shared" si="17"/>
        <v>1823000740</v>
      </c>
    </row>
    <row r="1097" spans="1:7" ht="14" x14ac:dyDescent="0.15">
      <c r="A1097" s="322">
        <v>1823000750</v>
      </c>
      <c r="B1097" s="322" t="s">
        <v>846</v>
      </c>
      <c r="E1097">
        <v>1841000581</v>
      </c>
      <c r="G1097">
        <f t="shared" si="17"/>
        <v>1823000750</v>
      </c>
    </row>
    <row r="1098" spans="1:7" ht="14" x14ac:dyDescent="0.15">
      <c r="A1098" s="322">
        <v>1823000780</v>
      </c>
      <c r="B1098" s="322" t="s">
        <v>580</v>
      </c>
      <c r="E1098">
        <v>1841000750</v>
      </c>
      <c r="G1098">
        <f t="shared" si="17"/>
        <v>1823000780</v>
      </c>
    </row>
    <row r="1099" spans="1:7" ht="14" x14ac:dyDescent="0.15">
      <c r="A1099" s="322">
        <v>1823000930</v>
      </c>
      <c r="B1099" s="322" t="s">
        <v>847</v>
      </c>
      <c r="E1099">
        <v>1841000780</v>
      </c>
      <c r="G1099">
        <f t="shared" si="17"/>
        <v>1823000930</v>
      </c>
    </row>
    <row r="1100" spans="1:7" ht="14" x14ac:dyDescent="0.15">
      <c r="A1100" s="322">
        <v>1823010110</v>
      </c>
      <c r="B1100" s="322" t="s">
        <v>83</v>
      </c>
      <c r="E1100">
        <v>1841000781</v>
      </c>
      <c r="G1100" t="e">
        <f t="shared" si="17"/>
        <v>#N/A</v>
      </c>
    </row>
    <row r="1101" spans="1:7" ht="14" x14ac:dyDescent="0.15">
      <c r="A1101" s="322">
        <v>1824000810</v>
      </c>
      <c r="B1101" s="322" t="s">
        <v>849</v>
      </c>
      <c r="E1101">
        <v>1841000843</v>
      </c>
      <c r="G1101">
        <f t="shared" si="17"/>
        <v>1824000810</v>
      </c>
    </row>
    <row r="1102" spans="1:7" ht="14" x14ac:dyDescent="0.15">
      <c r="A1102" s="322">
        <v>1824000811</v>
      </c>
      <c r="B1102" s="322" t="s">
        <v>177</v>
      </c>
      <c r="E1102">
        <v>1841000846</v>
      </c>
      <c r="G1102">
        <f t="shared" si="17"/>
        <v>1824000811</v>
      </c>
    </row>
    <row r="1103" spans="1:7" ht="14" x14ac:dyDescent="0.15">
      <c r="A1103" s="322">
        <v>1824000812</v>
      </c>
      <c r="B1103" s="322" t="s">
        <v>850</v>
      </c>
      <c r="E1103">
        <v>1841000910</v>
      </c>
      <c r="G1103">
        <f t="shared" si="17"/>
        <v>1824000812</v>
      </c>
    </row>
    <row r="1104" spans="1:7" ht="14" x14ac:dyDescent="0.15">
      <c r="A1104" s="322">
        <v>1824000813</v>
      </c>
      <c r="B1104" s="322" t="s">
        <v>178</v>
      </c>
      <c r="E1104">
        <v>1841000980</v>
      </c>
      <c r="G1104">
        <f t="shared" si="17"/>
        <v>1824000813</v>
      </c>
    </row>
    <row r="1105" spans="1:7" ht="14" x14ac:dyDescent="0.15">
      <c r="A1105" s="322">
        <v>1824000814</v>
      </c>
      <c r="B1105" s="322" t="s">
        <v>851</v>
      </c>
      <c r="E1105">
        <v>1841000981</v>
      </c>
      <c r="G1105">
        <f t="shared" si="17"/>
        <v>1824000814</v>
      </c>
    </row>
    <row r="1106" spans="1:7" ht="14" x14ac:dyDescent="0.15">
      <c r="A1106" s="322">
        <v>1824000816</v>
      </c>
      <c r="B1106" s="322" t="s">
        <v>1166</v>
      </c>
      <c r="E1106">
        <v>1841100750</v>
      </c>
      <c r="G1106">
        <f t="shared" si="17"/>
        <v>1824000816</v>
      </c>
    </row>
    <row r="1107" spans="1:7" ht="14" x14ac:dyDescent="0.15">
      <c r="A1107" s="322">
        <v>1824000817</v>
      </c>
      <c r="B1107" s="322" t="s">
        <v>1621</v>
      </c>
      <c r="E1107">
        <v>1842200840</v>
      </c>
      <c r="G1107">
        <f t="shared" si="17"/>
        <v>1824000817</v>
      </c>
    </row>
    <row r="1108" spans="1:7" ht="14" x14ac:dyDescent="0.15">
      <c r="A1108" s="322">
        <v>1824000818</v>
      </c>
      <c r="B1108" s="322" t="s">
        <v>1622</v>
      </c>
      <c r="E1108">
        <v>1842200843</v>
      </c>
      <c r="G1108">
        <f t="shared" si="17"/>
        <v>1824000818</v>
      </c>
    </row>
    <row r="1109" spans="1:7" ht="14" x14ac:dyDescent="0.15">
      <c r="A1109" s="322">
        <v>1825000530</v>
      </c>
      <c r="B1109" s="322" t="s">
        <v>2165</v>
      </c>
      <c r="E1109">
        <v>1842200844</v>
      </c>
      <c r="G1109">
        <f t="shared" si="17"/>
        <v>1825000530</v>
      </c>
    </row>
    <row r="1110" spans="1:7" ht="14" x14ac:dyDescent="0.15">
      <c r="A1110" s="322">
        <v>1825200110</v>
      </c>
      <c r="B1110" s="322" t="s">
        <v>523</v>
      </c>
      <c r="E1110">
        <v>1842200846</v>
      </c>
      <c r="G1110">
        <f t="shared" si="17"/>
        <v>1825200110</v>
      </c>
    </row>
    <row r="1111" spans="1:7" ht="14" x14ac:dyDescent="0.15">
      <c r="A1111" s="322">
        <v>1825200210</v>
      </c>
      <c r="B1111" s="322" t="s">
        <v>535</v>
      </c>
      <c r="E1111">
        <v>1842200847</v>
      </c>
      <c r="G1111">
        <f t="shared" si="17"/>
        <v>1825200210</v>
      </c>
    </row>
    <row r="1112" spans="1:7" ht="14" x14ac:dyDescent="0.15">
      <c r="A1112" s="322">
        <v>1825200420</v>
      </c>
      <c r="B1112" s="322" t="s">
        <v>852</v>
      </c>
      <c r="E1112">
        <v>1842400110</v>
      </c>
      <c r="G1112">
        <f t="shared" si="17"/>
        <v>1825200420</v>
      </c>
    </row>
    <row r="1113" spans="1:7" ht="14" x14ac:dyDescent="0.15">
      <c r="A1113" s="322">
        <v>1825200430</v>
      </c>
      <c r="B1113" s="322" t="s">
        <v>853</v>
      </c>
      <c r="E1113">
        <v>1842400841</v>
      </c>
      <c r="G1113">
        <f t="shared" si="17"/>
        <v>1825200430</v>
      </c>
    </row>
    <row r="1114" spans="1:7" ht="14" x14ac:dyDescent="0.15">
      <c r="A1114" s="322">
        <v>1825200433</v>
      </c>
      <c r="B1114" s="322" t="s">
        <v>854</v>
      </c>
      <c r="E1114">
        <v>1842400844</v>
      </c>
      <c r="G1114">
        <f t="shared" si="17"/>
        <v>1825200433</v>
      </c>
    </row>
    <row r="1115" spans="1:7" ht="14" x14ac:dyDescent="0.15">
      <c r="A1115" s="322">
        <v>1825200450</v>
      </c>
      <c r="B1115" s="322" t="s">
        <v>855</v>
      </c>
      <c r="E1115">
        <v>1842400845</v>
      </c>
      <c r="G1115">
        <f t="shared" si="17"/>
        <v>1825200450</v>
      </c>
    </row>
    <row r="1116" spans="1:7" ht="14" x14ac:dyDescent="0.15">
      <c r="A1116" s="322">
        <v>1825200470</v>
      </c>
      <c r="B1116" s="322" t="s">
        <v>856</v>
      </c>
      <c r="E1116">
        <v>1842400846</v>
      </c>
      <c r="G1116">
        <f t="shared" si="17"/>
        <v>1825200470</v>
      </c>
    </row>
    <row r="1117" spans="1:7" ht="14" x14ac:dyDescent="0.15">
      <c r="A1117" s="322">
        <v>1825200511</v>
      </c>
      <c r="B1117" s="322" t="s">
        <v>1624</v>
      </c>
      <c r="E1117">
        <v>1842400847</v>
      </c>
      <c r="G1117">
        <f t="shared" si="17"/>
        <v>1825200511</v>
      </c>
    </row>
    <row r="1118" spans="1:7" ht="14" x14ac:dyDescent="0.15">
      <c r="A1118" s="322">
        <v>1825200512</v>
      </c>
      <c r="B1118" s="322" t="s">
        <v>857</v>
      </c>
      <c r="E1118">
        <v>1842401840</v>
      </c>
      <c r="G1118">
        <f t="shared" si="17"/>
        <v>1825200512</v>
      </c>
    </row>
    <row r="1119" spans="1:7" ht="14" x14ac:dyDescent="0.15">
      <c r="A1119" s="322">
        <v>1825200520</v>
      </c>
      <c r="B1119" s="322" t="s">
        <v>858</v>
      </c>
      <c r="E1119">
        <v>1842401841</v>
      </c>
      <c r="G1119">
        <f t="shared" si="17"/>
        <v>1825200520</v>
      </c>
    </row>
    <row r="1120" spans="1:7" ht="14" x14ac:dyDescent="0.15">
      <c r="A1120" s="322">
        <v>1825200540</v>
      </c>
      <c r="B1120" s="322" t="s">
        <v>859</v>
      </c>
      <c r="E1120">
        <v>1842410110</v>
      </c>
      <c r="G1120">
        <f t="shared" si="17"/>
        <v>1825200540</v>
      </c>
    </row>
    <row r="1121" spans="1:7" ht="14" x14ac:dyDescent="0.15">
      <c r="A1121" s="322">
        <v>1825200550</v>
      </c>
      <c r="B1121" s="322" t="s">
        <v>860</v>
      </c>
      <c r="E1121">
        <v>1843500210</v>
      </c>
      <c r="G1121">
        <f t="shared" si="17"/>
        <v>1825200550</v>
      </c>
    </row>
    <row r="1122" spans="1:7" ht="14" x14ac:dyDescent="0.15">
      <c r="A1122" s="322">
        <v>1825200560</v>
      </c>
      <c r="B1122" s="322" t="s">
        <v>861</v>
      </c>
      <c r="E1122">
        <v>1843500840</v>
      </c>
      <c r="G1122">
        <f t="shared" si="17"/>
        <v>1825200560</v>
      </c>
    </row>
    <row r="1123" spans="1:7" ht="14" x14ac:dyDescent="0.15">
      <c r="A1123" s="322">
        <v>1825200570</v>
      </c>
      <c r="B1123" s="322" t="s">
        <v>1625</v>
      </c>
      <c r="E1123">
        <v>1843500841</v>
      </c>
      <c r="G1123">
        <f t="shared" si="17"/>
        <v>1825200570</v>
      </c>
    </row>
    <row r="1124" spans="1:7" ht="14" x14ac:dyDescent="0.15">
      <c r="A1124" s="322">
        <v>1825200581</v>
      </c>
      <c r="B1124" s="322" t="s">
        <v>1900</v>
      </c>
      <c r="E1124">
        <v>1843500842</v>
      </c>
      <c r="G1124">
        <f t="shared" si="17"/>
        <v>1825200581</v>
      </c>
    </row>
    <row r="1125" spans="1:7" ht="14" x14ac:dyDescent="0.15">
      <c r="A1125" s="322">
        <v>1825200720</v>
      </c>
      <c r="B1125" s="322" t="s">
        <v>862</v>
      </c>
      <c r="E1125">
        <v>1843500844</v>
      </c>
      <c r="G1125">
        <f t="shared" si="17"/>
        <v>1825200720</v>
      </c>
    </row>
    <row r="1126" spans="1:7" ht="14" x14ac:dyDescent="0.15">
      <c r="A1126" s="322">
        <v>1825200732</v>
      </c>
      <c r="B1126" s="322" t="s">
        <v>863</v>
      </c>
      <c r="E1126">
        <v>1843500845</v>
      </c>
      <c r="G1126">
        <f t="shared" si="17"/>
        <v>1825200732</v>
      </c>
    </row>
    <row r="1127" spans="1:7" ht="14" x14ac:dyDescent="0.15">
      <c r="A1127" s="322">
        <v>1825200740</v>
      </c>
      <c r="B1127" s="322" t="s">
        <v>737</v>
      </c>
      <c r="E1127">
        <v>1843500847</v>
      </c>
      <c r="G1127">
        <f t="shared" si="17"/>
        <v>1825200740</v>
      </c>
    </row>
    <row r="1128" spans="1:7" ht="14" x14ac:dyDescent="0.15">
      <c r="A1128" s="322">
        <v>1825200750</v>
      </c>
      <c r="B1128" s="322" t="s">
        <v>864</v>
      </c>
      <c r="E1128">
        <v>1843500849</v>
      </c>
      <c r="G1128">
        <f t="shared" si="17"/>
        <v>1825200750</v>
      </c>
    </row>
    <row r="1129" spans="1:7" ht="14" x14ac:dyDescent="0.15">
      <c r="A1129" s="322">
        <v>1825200760</v>
      </c>
      <c r="B1129" s="322" t="s">
        <v>1626</v>
      </c>
      <c r="E1129">
        <v>1843500850</v>
      </c>
      <c r="G1129">
        <f t="shared" si="17"/>
        <v>1825200760</v>
      </c>
    </row>
    <row r="1130" spans="1:7" ht="14" x14ac:dyDescent="0.15">
      <c r="A1130" s="322">
        <v>1825200780</v>
      </c>
      <c r="B1130" s="322" t="s">
        <v>865</v>
      </c>
      <c r="E1130">
        <v>1843500851</v>
      </c>
      <c r="G1130">
        <f t="shared" si="17"/>
        <v>1825200780</v>
      </c>
    </row>
    <row r="1131" spans="1:7" ht="14" x14ac:dyDescent="0.15">
      <c r="A1131" s="322">
        <v>1825200785</v>
      </c>
      <c r="B1131" s="322" t="s">
        <v>866</v>
      </c>
      <c r="E1131">
        <v>1843510110</v>
      </c>
      <c r="G1131" t="e">
        <f t="shared" si="17"/>
        <v>#N/A</v>
      </c>
    </row>
    <row r="1132" spans="1:7" ht="14" x14ac:dyDescent="0.15">
      <c r="A1132" s="322">
        <v>1825200786</v>
      </c>
      <c r="B1132" s="322" t="s">
        <v>867</v>
      </c>
      <c r="E1132">
        <v>1843800110</v>
      </c>
      <c r="G1132">
        <f t="shared" si="17"/>
        <v>1825200786</v>
      </c>
    </row>
    <row r="1133" spans="1:7" ht="14" x14ac:dyDescent="0.15">
      <c r="A1133" s="322">
        <v>1825200910</v>
      </c>
      <c r="B1133" s="322" t="s">
        <v>84</v>
      </c>
      <c r="E1133">
        <v>1843800840</v>
      </c>
      <c r="G1133" t="e">
        <f t="shared" si="17"/>
        <v>#N/A</v>
      </c>
    </row>
    <row r="1134" spans="1:7" ht="14" x14ac:dyDescent="0.15">
      <c r="A1134" s="322">
        <v>1825200930</v>
      </c>
      <c r="B1134" s="322" t="s">
        <v>868</v>
      </c>
      <c r="E1134">
        <v>1843800842</v>
      </c>
      <c r="G1134">
        <f t="shared" si="17"/>
        <v>1825200930</v>
      </c>
    </row>
    <row r="1135" spans="1:7" ht="14" x14ac:dyDescent="0.15">
      <c r="A1135" s="322">
        <v>1826200430</v>
      </c>
      <c r="B1135" s="322" t="s">
        <v>869</v>
      </c>
      <c r="E1135">
        <v>1843800845</v>
      </c>
      <c r="G1135" t="e">
        <f t="shared" si="17"/>
        <v>#N/A</v>
      </c>
    </row>
    <row r="1136" spans="1:7" ht="14" x14ac:dyDescent="0.15">
      <c r="A1136" s="322">
        <v>1826200830</v>
      </c>
      <c r="B1136" s="322" t="s">
        <v>872</v>
      </c>
      <c r="E1136">
        <v>1843900840</v>
      </c>
      <c r="G1136">
        <f t="shared" si="17"/>
        <v>1826200830</v>
      </c>
    </row>
    <row r="1137" spans="1:7" ht="14" x14ac:dyDescent="0.15">
      <c r="A1137" s="322">
        <v>1826400410</v>
      </c>
      <c r="B1137" s="322" t="s">
        <v>873</v>
      </c>
      <c r="E1137">
        <v>1844000430</v>
      </c>
      <c r="G1137">
        <f t="shared" si="17"/>
        <v>1826400410</v>
      </c>
    </row>
    <row r="1138" spans="1:7" ht="14" x14ac:dyDescent="0.15">
      <c r="A1138" s="322">
        <v>1826400430</v>
      </c>
      <c r="B1138" s="322" t="s">
        <v>874</v>
      </c>
      <c r="E1138">
        <v>1844300840</v>
      </c>
      <c r="G1138">
        <f t="shared" si="17"/>
        <v>1826400430</v>
      </c>
    </row>
    <row r="1139" spans="1:7" ht="14" x14ac:dyDescent="0.15">
      <c r="A1139" s="322">
        <v>1826400540</v>
      </c>
      <c r="B1139" s="322" t="s">
        <v>875</v>
      </c>
      <c r="E1139">
        <v>1844300842</v>
      </c>
      <c r="G1139">
        <f t="shared" si="17"/>
        <v>1826400540</v>
      </c>
    </row>
    <row r="1140" spans="1:7" ht="14" x14ac:dyDescent="0.15">
      <c r="A1140" s="322">
        <v>1826500581</v>
      </c>
      <c r="B1140" s="322" t="s">
        <v>1902</v>
      </c>
      <c r="E1140">
        <v>1844400780</v>
      </c>
      <c r="G1140">
        <f t="shared" si="17"/>
        <v>1826500581</v>
      </c>
    </row>
    <row r="1141" spans="1:7" ht="14" x14ac:dyDescent="0.15">
      <c r="A1141" s="322">
        <v>1826500780</v>
      </c>
      <c r="B1141" s="322" t="s">
        <v>876</v>
      </c>
      <c r="E1141">
        <v>1844400840</v>
      </c>
      <c r="G1141">
        <f t="shared" si="17"/>
        <v>1826500780</v>
      </c>
    </row>
    <row r="1142" spans="1:7" ht="14" x14ac:dyDescent="0.15">
      <c r="A1142" s="322">
        <v>1829200750</v>
      </c>
      <c r="B1142" s="322" t="s">
        <v>878</v>
      </c>
      <c r="E1142">
        <v>1844400841</v>
      </c>
      <c r="G1142">
        <f t="shared" si="17"/>
        <v>1829200750</v>
      </c>
    </row>
    <row r="1143" spans="1:7" ht="14" x14ac:dyDescent="0.15">
      <c r="A1143" s="322">
        <v>1829200751</v>
      </c>
      <c r="B1143" s="322" t="s">
        <v>1545</v>
      </c>
      <c r="E1143">
        <v>1844400842</v>
      </c>
      <c r="G1143">
        <f t="shared" si="17"/>
        <v>1829200751</v>
      </c>
    </row>
    <row r="1144" spans="1:7" ht="14" x14ac:dyDescent="0.15">
      <c r="A1144" s="322">
        <v>1829300110</v>
      </c>
      <c r="B1144" s="322" t="s">
        <v>536</v>
      </c>
      <c r="E1144">
        <v>1844400844</v>
      </c>
      <c r="G1144">
        <f t="shared" si="17"/>
        <v>1829300110</v>
      </c>
    </row>
    <row r="1145" spans="1:7" ht="14" x14ac:dyDescent="0.15">
      <c r="A1145" s="322">
        <v>1829300210</v>
      </c>
      <c r="B1145" s="322" t="s">
        <v>251</v>
      </c>
      <c r="E1145">
        <v>1844400845</v>
      </c>
      <c r="G1145">
        <f t="shared" si="17"/>
        <v>1829300210</v>
      </c>
    </row>
    <row r="1146" spans="1:7" ht="14" x14ac:dyDescent="0.15">
      <c r="A1146" s="322">
        <v>1829900110</v>
      </c>
      <c r="B1146" s="322" t="s">
        <v>537</v>
      </c>
      <c r="E1146">
        <v>1844400849</v>
      </c>
      <c r="G1146">
        <f t="shared" si="17"/>
        <v>1829900110</v>
      </c>
    </row>
    <row r="1147" spans="1:7" ht="14" x14ac:dyDescent="0.15">
      <c r="A1147" s="322">
        <v>1829900430</v>
      </c>
      <c r="B1147" s="322" t="s">
        <v>1154</v>
      </c>
      <c r="E1147">
        <v>1844400852</v>
      </c>
      <c r="G1147">
        <f t="shared" si="17"/>
        <v>1829900430</v>
      </c>
    </row>
    <row r="1148" spans="1:7" ht="14" x14ac:dyDescent="0.15">
      <c r="A1148" s="322">
        <v>1829900431</v>
      </c>
      <c r="B1148" s="322" t="s">
        <v>1546</v>
      </c>
      <c r="E1148">
        <v>1844400853</v>
      </c>
      <c r="G1148">
        <f t="shared" si="17"/>
        <v>1829900431</v>
      </c>
    </row>
    <row r="1149" spans="1:7" ht="14" x14ac:dyDescent="0.15">
      <c r="A1149" s="322">
        <v>1829900750</v>
      </c>
      <c r="B1149" s="322" t="s">
        <v>879</v>
      </c>
      <c r="E1149">
        <v>1844400854</v>
      </c>
      <c r="G1149">
        <f t="shared" si="17"/>
        <v>1829900750</v>
      </c>
    </row>
    <row r="1150" spans="1:7" ht="14" x14ac:dyDescent="0.15">
      <c r="A1150" s="322">
        <v>1829900751</v>
      </c>
      <c r="B1150" s="322" t="s">
        <v>1488</v>
      </c>
      <c r="E1150">
        <v>1844500840</v>
      </c>
      <c r="G1150">
        <f t="shared" si="17"/>
        <v>1829900751</v>
      </c>
    </row>
    <row r="1151" spans="1:7" ht="14" x14ac:dyDescent="0.15">
      <c r="A1151" s="322">
        <v>1829900810</v>
      </c>
      <c r="B1151" s="322" t="s">
        <v>794</v>
      </c>
      <c r="E1151">
        <v>1844500843</v>
      </c>
      <c r="G1151">
        <f t="shared" si="17"/>
        <v>1829900810</v>
      </c>
    </row>
    <row r="1152" spans="1:7" ht="14" x14ac:dyDescent="0.15">
      <c r="A1152" s="322">
        <v>1829900811</v>
      </c>
      <c r="B1152" s="322" t="s">
        <v>880</v>
      </c>
      <c r="E1152">
        <v>1844500845</v>
      </c>
      <c r="G1152">
        <f t="shared" si="17"/>
        <v>1829900811</v>
      </c>
    </row>
    <row r="1153" spans="1:7" ht="14" x14ac:dyDescent="0.15">
      <c r="A1153" s="322">
        <v>1829900910</v>
      </c>
      <c r="B1153" s="322" t="s">
        <v>881</v>
      </c>
      <c r="E1153">
        <v>1845100842</v>
      </c>
      <c r="G1153">
        <f t="shared" si="17"/>
        <v>1829900910</v>
      </c>
    </row>
    <row r="1154" spans="1:7" ht="14" x14ac:dyDescent="0.15">
      <c r="A1154" s="322">
        <v>1829910810</v>
      </c>
      <c r="B1154" s="322" t="s">
        <v>882</v>
      </c>
      <c r="E1154">
        <v>1845100843</v>
      </c>
      <c r="G1154">
        <f t="shared" si="17"/>
        <v>1829910810</v>
      </c>
    </row>
    <row r="1155" spans="1:7" ht="14" x14ac:dyDescent="0.15">
      <c r="A1155" s="322">
        <v>1836100810</v>
      </c>
      <c r="B1155" s="322" t="s">
        <v>883</v>
      </c>
      <c r="E1155">
        <v>1845100844</v>
      </c>
      <c r="G1155">
        <f t="shared" ref="G1155:G1218" si="18">VLOOKUP(A1155,$E$2:$E$1373,1,FALSE)</f>
        <v>1836100810</v>
      </c>
    </row>
    <row r="1156" spans="1:7" ht="14" x14ac:dyDescent="0.15">
      <c r="A1156" s="322">
        <v>1840000910</v>
      </c>
      <c r="B1156" s="322" t="s">
        <v>741</v>
      </c>
      <c r="E1156">
        <v>1845100845</v>
      </c>
      <c r="G1156">
        <f t="shared" si="18"/>
        <v>1840000910</v>
      </c>
    </row>
    <row r="1157" spans="1:7" ht="14" x14ac:dyDescent="0.15">
      <c r="A1157" s="322">
        <v>1840000981</v>
      </c>
      <c r="B1157" s="322" t="s">
        <v>74</v>
      </c>
      <c r="E1157">
        <v>1845100846</v>
      </c>
      <c r="G1157" t="e">
        <f t="shared" si="18"/>
        <v>#N/A</v>
      </c>
    </row>
    <row r="1158" spans="1:7" ht="14" x14ac:dyDescent="0.15">
      <c r="A1158" s="322">
        <v>1841000110</v>
      </c>
      <c r="B1158" s="322" t="s">
        <v>401</v>
      </c>
      <c r="E1158">
        <v>1845100848</v>
      </c>
      <c r="G1158">
        <f t="shared" si="18"/>
        <v>1841000110</v>
      </c>
    </row>
    <row r="1159" spans="1:7" ht="14" x14ac:dyDescent="0.15">
      <c r="A1159" s="322">
        <v>1841000210</v>
      </c>
      <c r="B1159" s="322" t="s">
        <v>1011</v>
      </c>
      <c r="E1159">
        <v>1845100849</v>
      </c>
      <c r="G1159">
        <f t="shared" si="18"/>
        <v>1841000210</v>
      </c>
    </row>
    <row r="1160" spans="1:7" ht="14" x14ac:dyDescent="0.15">
      <c r="A1160" s="322">
        <v>1841000511</v>
      </c>
      <c r="B1160" s="322" t="s">
        <v>790</v>
      </c>
      <c r="E1160">
        <v>1845100850</v>
      </c>
      <c r="G1160">
        <f t="shared" si="18"/>
        <v>1841000511</v>
      </c>
    </row>
    <row r="1161" spans="1:7" ht="14" x14ac:dyDescent="0.15">
      <c r="A1161" s="322">
        <v>1841000512</v>
      </c>
      <c r="B1161" s="322" t="s">
        <v>183</v>
      </c>
      <c r="E1161">
        <v>1845100851</v>
      </c>
      <c r="G1161">
        <f t="shared" si="18"/>
        <v>1841000512</v>
      </c>
    </row>
    <row r="1162" spans="1:7" ht="14" x14ac:dyDescent="0.15">
      <c r="A1162" s="322">
        <v>1841000540</v>
      </c>
      <c r="B1162" s="322" t="s">
        <v>184</v>
      </c>
      <c r="E1162">
        <v>1845100852</v>
      </c>
      <c r="G1162">
        <f t="shared" si="18"/>
        <v>1841000540</v>
      </c>
    </row>
    <row r="1163" spans="1:7" ht="14" x14ac:dyDescent="0.15">
      <c r="A1163" s="322">
        <v>1841000560</v>
      </c>
      <c r="B1163" s="322" t="s">
        <v>966</v>
      </c>
      <c r="E1163">
        <v>1845100853</v>
      </c>
      <c r="G1163">
        <f t="shared" si="18"/>
        <v>1841000560</v>
      </c>
    </row>
    <row r="1164" spans="1:7" ht="14" x14ac:dyDescent="0.15">
      <c r="A1164" s="322">
        <v>1841000570</v>
      </c>
      <c r="B1164" s="322" t="s">
        <v>1023</v>
      </c>
      <c r="E1164">
        <v>1845200110</v>
      </c>
      <c r="G1164">
        <f t="shared" si="18"/>
        <v>1841000570</v>
      </c>
    </row>
    <row r="1165" spans="1:7" ht="14" x14ac:dyDescent="0.15">
      <c r="A1165" s="322">
        <v>1841000571</v>
      </c>
      <c r="B1165" s="322" t="s">
        <v>590</v>
      </c>
      <c r="E1165">
        <v>1845200210</v>
      </c>
      <c r="G1165">
        <f t="shared" si="18"/>
        <v>1841000571</v>
      </c>
    </row>
    <row r="1166" spans="1:7" ht="14" x14ac:dyDescent="0.15">
      <c r="A1166" s="322">
        <v>1841000580</v>
      </c>
      <c r="B1166" s="322" t="s">
        <v>835</v>
      </c>
      <c r="E1166">
        <v>1845200841</v>
      </c>
      <c r="G1166">
        <f t="shared" si="18"/>
        <v>1841000580</v>
      </c>
    </row>
    <row r="1167" spans="1:7" ht="14" x14ac:dyDescent="0.15">
      <c r="A1167" s="322">
        <v>1841000581</v>
      </c>
      <c r="B1167" s="322" t="s">
        <v>1905</v>
      </c>
      <c r="E1167">
        <v>1845200842</v>
      </c>
      <c r="G1167">
        <f t="shared" si="18"/>
        <v>1841000581</v>
      </c>
    </row>
    <row r="1168" spans="1:7" ht="14" x14ac:dyDescent="0.15">
      <c r="A1168" s="322">
        <v>1841000750</v>
      </c>
      <c r="B1168" s="322" t="s">
        <v>1024</v>
      </c>
      <c r="E1168">
        <v>1845200846</v>
      </c>
      <c r="G1168">
        <f t="shared" si="18"/>
        <v>1841000750</v>
      </c>
    </row>
    <row r="1169" spans="1:7" ht="14" x14ac:dyDescent="0.15">
      <c r="A1169" s="322">
        <v>1841000780</v>
      </c>
      <c r="B1169" s="322" t="s">
        <v>1046</v>
      </c>
      <c r="E1169">
        <v>1845200847</v>
      </c>
      <c r="G1169">
        <f t="shared" si="18"/>
        <v>1841000780</v>
      </c>
    </row>
    <row r="1170" spans="1:7" ht="14" x14ac:dyDescent="0.15">
      <c r="A1170" s="322">
        <v>1841000781</v>
      </c>
      <c r="B1170" s="322" t="s">
        <v>2166</v>
      </c>
      <c r="E1170">
        <v>1845300840</v>
      </c>
      <c r="G1170">
        <f t="shared" si="18"/>
        <v>1841000781</v>
      </c>
    </row>
    <row r="1171" spans="1:7" ht="14" x14ac:dyDescent="0.15">
      <c r="A1171" s="322">
        <v>1841000843</v>
      </c>
      <c r="B1171" s="322" t="s">
        <v>402</v>
      </c>
      <c r="E1171">
        <v>1845300841</v>
      </c>
      <c r="G1171">
        <f t="shared" si="18"/>
        <v>1841000843</v>
      </c>
    </row>
    <row r="1172" spans="1:7" ht="14" x14ac:dyDescent="0.15">
      <c r="A1172" s="322">
        <v>1841000845</v>
      </c>
      <c r="B1172" s="322" t="s">
        <v>1404</v>
      </c>
      <c r="E1172">
        <v>1845300843</v>
      </c>
      <c r="G1172" t="e">
        <f t="shared" si="18"/>
        <v>#N/A</v>
      </c>
    </row>
    <row r="1173" spans="1:7" ht="14" x14ac:dyDescent="0.15">
      <c r="A1173" s="322">
        <v>1841000846</v>
      </c>
      <c r="B1173" s="322" t="s">
        <v>404</v>
      </c>
      <c r="E1173">
        <v>1845300846</v>
      </c>
      <c r="G1173">
        <f t="shared" si="18"/>
        <v>1841000846</v>
      </c>
    </row>
    <row r="1174" spans="1:7" ht="14" x14ac:dyDescent="0.15">
      <c r="A1174" s="322">
        <v>1841000910</v>
      </c>
      <c r="B1174" s="322" t="s">
        <v>704</v>
      </c>
      <c r="E1174">
        <v>1845300847</v>
      </c>
      <c r="G1174">
        <f t="shared" si="18"/>
        <v>1841000910</v>
      </c>
    </row>
    <row r="1175" spans="1:7" ht="14" x14ac:dyDescent="0.15">
      <c r="A1175" s="322">
        <v>1841000980</v>
      </c>
      <c r="B1175" s="322" t="s">
        <v>652</v>
      </c>
      <c r="E1175">
        <v>1845300848</v>
      </c>
      <c r="G1175">
        <f t="shared" si="18"/>
        <v>1841000980</v>
      </c>
    </row>
    <row r="1176" spans="1:7" ht="14" x14ac:dyDescent="0.15">
      <c r="A1176" s="322">
        <v>1841000981</v>
      </c>
      <c r="B1176" s="322" t="s">
        <v>1463</v>
      </c>
      <c r="E1176">
        <v>1846100840</v>
      </c>
      <c r="G1176">
        <f t="shared" si="18"/>
        <v>1841000981</v>
      </c>
    </row>
    <row r="1177" spans="1:7" ht="14" x14ac:dyDescent="0.15">
      <c r="A1177" s="322">
        <v>1841000982</v>
      </c>
      <c r="B1177" s="322" t="s">
        <v>1486</v>
      </c>
      <c r="E1177">
        <v>1846300841</v>
      </c>
      <c r="G1177" t="e">
        <f t="shared" si="18"/>
        <v>#N/A</v>
      </c>
    </row>
    <row r="1178" spans="1:7" ht="14" x14ac:dyDescent="0.15">
      <c r="A1178" s="322">
        <v>1841100750</v>
      </c>
      <c r="B1178" s="322" t="s">
        <v>714</v>
      </c>
      <c r="E1178">
        <v>1846300843</v>
      </c>
      <c r="G1178">
        <f t="shared" si="18"/>
        <v>1841100750</v>
      </c>
    </row>
    <row r="1179" spans="1:7" ht="14" x14ac:dyDescent="0.15">
      <c r="A1179" s="322">
        <v>1842200840</v>
      </c>
      <c r="B1179" s="322" t="s">
        <v>406</v>
      </c>
      <c r="E1179">
        <v>1846400780</v>
      </c>
      <c r="G1179">
        <f t="shared" si="18"/>
        <v>1842200840</v>
      </c>
    </row>
    <row r="1180" spans="1:7" ht="14" x14ac:dyDescent="0.15">
      <c r="A1180" s="322">
        <v>1842200843</v>
      </c>
      <c r="B1180" s="322" t="s">
        <v>407</v>
      </c>
      <c r="E1180">
        <v>1846400840</v>
      </c>
      <c r="G1180">
        <f t="shared" si="18"/>
        <v>1842200843</v>
      </c>
    </row>
    <row r="1181" spans="1:7" ht="14" x14ac:dyDescent="0.15">
      <c r="A1181" s="322">
        <v>1842200844</v>
      </c>
      <c r="B1181" s="322" t="s">
        <v>1026</v>
      </c>
      <c r="E1181">
        <v>1846400841</v>
      </c>
      <c r="G1181">
        <f t="shared" si="18"/>
        <v>1842200844</v>
      </c>
    </row>
    <row r="1182" spans="1:7" ht="14" x14ac:dyDescent="0.15">
      <c r="A1182" s="322">
        <v>1842200846</v>
      </c>
      <c r="B1182" s="322" t="s">
        <v>409</v>
      </c>
      <c r="E1182">
        <v>1846500840</v>
      </c>
      <c r="G1182">
        <f t="shared" si="18"/>
        <v>1842200846</v>
      </c>
    </row>
    <row r="1183" spans="1:7" ht="14" x14ac:dyDescent="0.15">
      <c r="A1183" s="322">
        <v>1842200847</v>
      </c>
      <c r="B1183" s="322" t="s">
        <v>1485</v>
      </c>
      <c r="E1183">
        <v>1846600840</v>
      </c>
      <c r="G1183">
        <f t="shared" si="18"/>
        <v>1842200847</v>
      </c>
    </row>
    <row r="1184" spans="1:7" ht="14" x14ac:dyDescent="0.15">
      <c r="A1184" s="322">
        <v>1842400110</v>
      </c>
      <c r="B1184" s="322" t="s">
        <v>1653</v>
      </c>
      <c r="E1184">
        <v>1846600841</v>
      </c>
      <c r="G1184">
        <f t="shared" si="18"/>
        <v>1842400110</v>
      </c>
    </row>
    <row r="1185" spans="1:7" ht="14" x14ac:dyDescent="0.15">
      <c r="A1185" s="322">
        <v>1842400841</v>
      </c>
      <c r="B1185" s="322" t="s">
        <v>410</v>
      </c>
      <c r="E1185">
        <v>1846600843</v>
      </c>
      <c r="G1185">
        <f t="shared" si="18"/>
        <v>1842400841</v>
      </c>
    </row>
    <row r="1186" spans="1:7" ht="14" x14ac:dyDescent="0.15">
      <c r="A1186" s="322">
        <v>1842400844</v>
      </c>
      <c r="B1186" s="322" t="s">
        <v>1027</v>
      </c>
      <c r="E1186">
        <v>1846700210</v>
      </c>
      <c r="G1186">
        <f t="shared" si="18"/>
        <v>1842400844</v>
      </c>
    </row>
    <row r="1187" spans="1:7" ht="14" x14ac:dyDescent="0.15">
      <c r="A1187" s="322">
        <v>1842400845</v>
      </c>
      <c r="B1187" s="322" t="s">
        <v>411</v>
      </c>
      <c r="E1187">
        <v>1846700840</v>
      </c>
      <c r="G1187">
        <f t="shared" si="18"/>
        <v>1842400845</v>
      </c>
    </row>
    <row r="1188" spans="1:7" ht="14" x14ac:dyDescent="0.15">
      <c r="A1188" s="322">
        <v>1842400846</v>
      </c>
      <c r="B1188" s="322" t="s">
        <v>1408</v>
      </c>
      <c r="E1188">
        <v>1846700841</v>
      </c>
      <c r="G1188">
        <f t="shared" si="18"/>
        <v>1842400846</v>
      </c>
    </row>
    <row r="1189" spans="1:7" ht="14" x14ac:dyDescent="0.15">
      <c r="A1189" s="322">
        <v>1842400847</v>
      </c>
      <c r="B1189" s="322" t="s">
        <v>1592</v>
      </c>
      <c r="E1189">
        <v>1846700843</v>
      </c>
      <c r="G1189">
        <f t="shared" si="18"/>
        <v>1842400847</v>
      </c>
    </row>
    <row r="1190" spans="1:7" ht="14" x14ac:dyDescent="0.15">
      <c r="A1190" s="322">
        <v>1842401840</v>
      </c>
      <c r="B1190" s="322" t="s">
        <v>412</v>
      </c>
      <c r="E1190">
        <v>1846700844</v>
      </c>
      <c r="G1190">
        <f t="shared" si="18"/>
        <v>1842401840</v>
      </c>
    </row>
    <row r="1191" spans="1:7" ht="14" x14ac:dyDescent="0.15">
      <c r="A1191" s="322">
        <v>1842401841</v>
      </c>
      <c r="B1191" s="322" t="s">
        <v>1652</v>
      </c>
      <c r="E1191">
        <v>1846700846</v>
      </c>
      <c r="G1191">
        <f t="shared" si="18"/>
        <v>1842401841</v>
      </c>
    </row>
    <row r="1192" spans="1:7" ht="14" x14ac:dyDescent="0.15">
      <c r="A1192" s="322">
        <v>1842410110</v>
      </c>
      <c r="B1192" s="322" t="s">
        <v>1906</v>
      </c>
      <c r="E1192">
        <v>1846700848</v>
      </c>
      <c r="G1192">
        <f t="shared" si="18"/>
        <v>1842410110</v>
      </c>
    </row>
    <row r="1193" spans="1:7" ht="14" x14ac:dyDescent="0.15">
      <c r="A1193" s="322">
        <v>1843500210</v>
      </c>
      <c r="B1193" s="322" t="s">
        <v>1483</v>
      </c>
      <c r="E1193">
        <v>1846700849</v>
      </c>
      <c r="G1193">
        <f t="shared" si="18"/>
        <v>1843500210</v>
      </c>
    </row>
    <row r="1194" spans="1:7" ht="14" x14ac:dyDescent="0.15">
      <c r="A1194" s="322">
        <v>1843500840</v>
      </c>
      <c r="B1194" s="322" t="s">
        <v>85</v>
      </c>
      <c r="E1194">
        <v>1846800842</v>
      </c>
      <c r="G1194">
        <f t="shared" si="18"/>
        <v>1843500840</v>
      </c>
    </row>
    <row r="1195" spans="1:7" ht="14" x14ac:dyDescent="0.15">
      <c r="A1195" s="322">
        <v>1843500841</v>
      </c>
      <c r="B1195" s="322" t="s">
        <v>413</v>
      </c>
      <c r="E1195">
        <v>1846800843</v>
      </c>
      <c r="G1195">
        <f t="shared" si="18"/>
        <v>1843500841</v>
      </c>
    </row>
    <row r="1196" spans="1:7" ht="14" x14ac:dyDescent="0.15">
      <c r="A1196" s="322">
        <v>1843500842</v>
      </c>
      <c r="B1196" s="322" t="s">
        <v>414</v>
      </c>
      <c r="E1196">
        <v>1846800844</v>
      </c>
      <c r="G1196">
        <f t="shared" si="18"/>
        <v>1843500842</v>
      </c>
    </row>
    <row r="1197" spans="1:7" ht="14" x14ac:dyDescent="0.15">
      <c r="A1197" s="322">
        <v>1843500844</v>
      </c>
      <c r="B1197" s="322" t="s">
        <v>415</v>
      </c>
      <c r="E1197">
        <v>1846800846</v>
      </c>
      <c r="G1197">
        <f t="shared" si="18"/>
        <v>1843500844</v>
      </c>
    </row>
    <row r="1198" spans="1:7" ht="14" x14ac:dyDescent="0.15">
      <c r="A1198" s="322">
        <v>1843500845</v>
      </c>
      <c r="B1198" s="322" t="s">
        <v>416</v>
      </c>
      <c r="E1198">
        <v>1846800848</v>
      </c>
      <c r="G1198">
        <f t="shared" si="18"/>
        <v>1843500845</v>
      </c>
    </row>
    <row r="1199" spans="1:7" ht="14" x14ac:dyDescent="0.15">
      <c r="A1199" s="322">
        <v>1843500847</v>
      </c>
      <c r="B1199" s="322" t="s">
        <v>417</v>
      </c>
      <c r="E1199">
        <v>1846800850</v>
      </c>
      <c r="G1199">
        <f t="shared" si="18"/>
        <v>1843500847</v>
      </c>
    </row>
    <row r="1200" spans="1:7" ht="14" x14ac:dyDescent="0.15">
      <c r="A1200" s="322">
        <v>1843500849</v>
      </c>
      <c r="B1200" s="322" t="s">
        <v>418</v>
      </c>
      <c r="E1200">
        <v>1846900780</v>
      </c>
      <c r="G1200">
        <f t="shared" si="18"/>
        <v>1843500849</v>
      </c>
    </row>
    <row r="1201" spans="1:7" ht="14" x14ac:dyDescent="0.15">
      <c r="A1201" s="322">
        <v>1843500850</v>
      </c>
      <c r="B1201" s="322" t="s">
        <v>58</v>
      </c>
      <c r="E1201">
        <v>1847100110</v>
      </c>
      <c r="G1201">
        <f t="shared" si="18"/>
        <v>1843500850</v>
      </c>
    </row>
    <row r="1202" spans="1:7" ht="14" x14ac:dyDescent="0.15">
      <c r="A1202" s="322">
        <v>1843500851</v>
      </c>
      <c r="B1202" s="322" t="s">
        <v>1593</v>
      </c>
      <c r="E1202">
        <v>1847100210</v>
      </c>
      <c r="G1202">
        <f t="shared" si="18"/>
        <v>1843500851</v>
      </c>
    </row>
    <row r="1203" spans="1:7" ht="14" x14ac:dyDescent="0.15">
      <c r="A1203" s="322">
        <v>1843510110</v>
      </c>
      <c r="B1203" s="322" t="s">
        <v>1659</v>
      </c>
      <c r="E1203">
        <v>1847100841</v>
      </c>
      <c r="G1203">
        <f t="shared" si="18"/>
        <v>1843510110</v>
      </c>
    </row>
    <row r="1204" spans="1:7" ht="14" x14ac:dyDescent="0.15">
      <c r="A1204" s="322">
        <v>1843800110</v>
      </c>
      <c r="B1204" s="322" t="s">
        <v>1658</v>
      </c>
      <c r="E1204">
        <v>1847100843</v>
      </c>
      <c r="G1204">
        <f t="shared" si="18"/>
        <v>1843800110</v>
      </c>
    </row>
    <row r="1205" spans="1:7" ht="14" x14ac:dyDescent="0.15">
      <c r="A1205" s="322">
        <v>1843800840</v>
      </c>
      <c r="B1205" s="322" t="s">
        <v>419</v>
      </c>
      <c r="E1205">
        <v>1847100845</v>
      </c>
      <c r="G1205">
        <f t="shared" si="18"/>
        <v>1843800840</v>
      </c>
    </row>
    <row r="1206" spans="1:7" ht="14" x14ac:dyDescent="0.15">
      <c r="A1206" s="322">
        <v>1843800842</v>
      </c>
      <c r="B1206" s="322" t="s">
        <v>190</v>
      </c>
      <c r="E1206">
        <v>1847100846</v>
      </c>
      <c r="G1206">
        <f t="shared" si="18"/>
        <v>1843800842</v>
      </c>
    </row>
    <row r="1207" spans="1:7" ht="14" x14ac:dyDescent="0.15">
      <c r="A1207" s="322">
        <v>1843800845</v>
      </c>
      <c r="B1207" s="322" t="s">
        <v>420</v>
      </c>
      <c r="E1207">
        <v>1847100849</v>
      </c>
      <c r="G1207">
        <f t="shared" si="18"/>
        <v>1843800845</v>
      </c>
    </row>
    <row r="1208" spans="1:7" ht="14" x14ac:dyDescent="0.15">
      <c r="A1208" s="322">
        <v>1843900840</v>
      </c>
      <c r="B1208" s="322" t="s">
        <v>421</v>
      </c>
      <c r="E1208">
        <v>1847100852</v>
      </c>
      <c r="G1208">
        <f t="shared" si="18"/>
        <v>1843900840</v>
      </c>
    </row>
    <row r="1209" spans="1:7" ht="14" x14ac:dyDescent="0.15">
      <c r="A1209" s="322">
        <v>1844000430</v>
      </c>
      <c r="B1209" s="322" t="s">
        <v>1028</v>
      </c>
      <c r="E1209">
        <v>1847100853</v>
      </c>
      <c r="G1209">
        <f t="shared" si="18"/>
        <v>1844000430</v>
      </c>
    </row>
    <row r="1210" spans="1:7" ht="14" x14ac:dyDescent="0.15">
      <c r="A1210" s="322">
        <v>1844300840</v>
      </c>
      <c r="B1210" s="322" t="s">
        <v>300</v>
      </c>
      <c r="E1210">
        <v>1847100854</v>
      </c>
      <c r="G1210">
        <f t="shared" si="18"/>
        <v>1844300840</v>
      </c>
    </row>
    <row r="1211" spans="1:7" ht="14" x14ac:dyDescent="0.15">
      <c r="A1211" s="322">
        <v>1844300842</v>
      </c>
      <c r="B1211" s="322" t="s">
        <v>59</v>
      </c>
      <c r="E1211">
        <v>1847110110</v>
      </c>
      <c r="G1211">
        <f t="shared" si="18"/>
        <v>1844300842</v>
      </c>
    </row>
    <row r="1212" spans="1:7" ht="14" x14ac:dyDescent="0.15">
      <c r="A1212" s="322">
        <v>1844400780</v>
      </c>
      <c r="B1212" s="322" t="s">
        <v>1029</v>
      </c>
      <c r="E1212">
        <v>1847110780</v>
      </c>
      <c r="G1212">
        <f t="shared" si="18"/>
        <v>1844400780</v>
      </c>
    </row>
    <row r="1213" spans="1:7" ht="14" x14ac:dyDescent="0.15">
      <c r="A1213" s="322">
        <v>1844400840</v>
      </c>
      <c r="B1213" s="322" t="s">
        <v>1482</v>
      </c>
      <c r="E1213">
        <v>1847110842</v>
      </c>
      <c r="G1213">
        <f t="shared" si="18"/>
        <v>1844400840</v>
      </c>
    </row>
    <row r="1214" spans="1:7" ht="14" x14ac:dyDescent="0.15">
      <c r="A1214" s="322">
        <v>1844400841</v>
      </c>
      <c r="B1214" s="322" t="s">
        <v>422</v>
      </c>
      <c r="E1214">
        <v>1847300430</v>
      </c>
      <c r="G1214">
        <f t="shared" si="18"/>
        <v>1844400841</v>
      </c>
    </row>
    <row r="1215" spans="1:7" ht="14" x14ac:dyDescent="0.15">
      <c r="A1215" s="322">
        <v>1844400842</v>
      </c>
      <c r="B1215" s="322" t="s">
        <v>423</v>
      </c>
      <c r="E1215">
        <v>1847300840</v>
      </c>
      <c r="G1215">
        <f t="shared" si="18"/>
        <v>1844400842</v>
      </c>
    </row>
    <row r="1216" spans="1:7" ht="14" x14ac:dyDescent="0.15">
      <c r="A1216" s="322">
        <v>1844400843</v>
      </c>
      <c r="B1216" s="322" t="s">
        <v>1194</v>
      </c>
      <c r="E1216">
        <v>1847300846</v>
      </c>
      <c r="G1216" t="e">
        <f t="shared" si="18"/>
        <v>#N/A</v>
      </c>
    </row>
    <row r="1217" spans="1:7" ht="14" x14ac:dyDescent="0.15">
      <c r="A1217" s="322">
        <v>1844400844</v>
      </c>
      <c r="B1217" s="322" t="s">
        <v>193</v>
      </c>
      <c r="E1217">
        <v>1847300847</v>
      </c>
      <c r="G1217">
        <f t="shared" si="18"/>
        <v>1844400844</v>
      </c>
    </row>
    <row r="1218" spans="1:7" ht="14" x14ac:dyDescent="0.15">
      <c r="A1218" s="322">
        <v>1844400845</v>
      </c>
      <c r="B1218" s="322" t="s">
        <v>425</v>
      </c>
      <c r="E1218">
        <v>1847300848</v>
      </c>
      <c r="G1218">
        <f t="shared" si="18"/>
        <v>1844400845</v>
      </c>
    </row>
    <row r="1219" spans="1:7" ht="14" x14ac:dyDescent="0.15">
      <c r="A1219" s="322">
        <v>1844400846</v>
      </c>
      <c r="B1219" s="322" t="s">
        <v>60</v>
      </c>
      <c r="E1219">
        <v>1847400422</v>
      </c>
      <c r="G1219" t="e">
        <f t="shared" ref="G1219:G1282" si="19">VLOOKUP(A1219,$E$2:$E$1373,1,FALSE)</f>
        <v>#N/A</v>
      </c>
    </row>
    <row r="1220" spans="1:7" ht="14" x14ac:dyDescent="0.15">
      <c r="A1220" s="322">
        <v>1844400849</v>
      </c>
      <c r="B1220" s="322" t="s">
        <v>426</v>
      </c>
      <c r="E1220">
        <v>1847400540</v>
      </c>
      <c r="G1220">
        <f t="shared" si="19"/>
        <v>1844400849</v>
      </c>
    </row>
    <row r="1221" spans="1:7" ht="14" x14ac:dyDescent="0.15">
      <c r="A1221" s="322">
        <v>1844400852</v>
      </c>
      <c r="B1221" s="322" t="s">
        <v>1722</v>
      </c>
      <c r="E1221">
        <v>1847400560</v>
      </c>
      <c r="G1221">
        <f t="shared" si="19"/>
        <v>1844400852</v>
      </c>
    </row>
    <row r="1222" spans="1:7" ht="14" x14ac:dyDescent="0.15">
      <c r="A1222" s="322">
        <v>1844400853</v>
      </c>
      <c r="B1222" s="322" t="s">
        <v>1994</v>
      </c>
      <c r="E1222">
        <v>1847400720</v>
      </c>
      <c r="G1222">
        <f t="shared" si="19"/>
        <v>1844400853</v>
      </c>
    </row>
    <row r="1223" spans="1:7" ht="14" x14ac:dyDescent="0.15">
      <c r="A1223" s="322">
        <v>1844400854</v>
      </c>
      <c r="B1223" s="322" t="s">
        <v>2084</v>
      </c>
      <c r="E1223">
        <v>1847400840</v>
      </c>
      <c r="G1223">
        <f t="shared" si="19"/>
        <v>1844400854</v>
      </c>
    </row>
    <row r="1224" spans="1:7" ht="14" x14ac:dyDescent="0.15">
      <c r="A1224" s="322">
        <v>1844500840</v>
      </c>
      <c r="B1224" s="322" t="s">
        <v>427</v>
      </c>
      <c r="E1224">
        <v>1847400841</v>
      </c>
      <c r="G1224">
        <f t="shared" si="19"/>
        <v>1844500840</v>
      </c>
    </row>
    <row r="1225" spans="1:7" ht="14" x14ac:dyDescent="0.15">
      <c r="A1225" s="322">
        <v>1844500843</v>
      </c>
      <c r="B1225" s="322" t="s">
        <v>1650</v>
      </c>
      <c r="E1225">
        <v>1847400843</v>
      </c>
      <c r="G1225">
        <f t="shared" si="19"/>
        <v>1844500843</v>
      </c>
    </row>
    <row r="1226" spans="1:7" ht="14" x14ac:dyDescent="0.15">
      <c r="A1226" s="322">
        <v>1844500845</v>
      </c>
      <c r="B1226" s="322" t="s">
        <v>1649</v>
      </c>
      <c r="E1226">
        <v>1847400844</v>
      </c>
      <c r="G1226">
        <f t="shared" si="19"/>
        <v>1844500845</v>
      </c>
    </row>
    <row r="1227" spans="1:7" ht="14" x14ac:dyDescent="0.15">
      <c r="A1227" s="322">
        <v>1845100840</v>
      </c>
      <c r="B1227" s="322" t="s">
        <v>429</v>
      </c>
      <c r="E1227">
        <v>1847400845</v>
      </c>
      <c r="G1227" t="e">
        <f t="shared" si="19"/>
        <v>#N/A</v>
      </c>
    </row>
    <row r="1228" spans="1:7" ht="14" x14ac:dyDescent="0.15">
      <c r="A1228" s="322">
        <v>1845100841</v>
      </c>
      <c r="B1228" s="322" t="s">
        <v>430</v>
      </c>
      <c r="E1228">
        <v>1847400846</v>
      </c>
      <c r="G1228" t="e">
        <f t="shared" si="19"/>
        <v>#N/A</v>
      </c>
    </row>
    <row r="1229" spans="1:7" ht="14" x14ac:dyDescent="0.15">
      <c r="A1229" s="322">
        <v>1845100842</v>
      </c>
      <c r="B1229" s="322" t="s">
        <v>431</v>
      </c>
      <c r="E1229">
        <v>1847400930</v>
      </c>
      <c r="G1229">
        <f t="shared" si="19"/>
        <v>1845100842</v>
      </c>
    </row>
    <row r="1230" spans="1:7" ht="14" x14ac:dyDescent="0.15">
      <c r="A1230" s="322">
        <v>1845100843</v>
      </c>
      <c r="B1230" s="322" t="s">
        <v>432</v>
      </c>
      <c r="E1230">
        <v>1847401110</v>
      </c>
      <c r="G1230">
        <f t="shared" si="19"/>
        <v>1845100843</v>
      </c>
    </row>
    <row r="1231" spans="1:7" ht="14" x14ac:dyDescent="0.15">
      <c r="A1231" s="322">
        <v>1845100844</v>
      </c>
      <c r="B1231" s="322" t="s">
        <v>1196</v>
      </c>
      <c r="E1231">
        <v>1847402110</v>
      </c>
      <c r="G1231">
        <f t="shared" si="19"/>
        <v>1845100844</v>
      </c>
    </row>
    <row r="1232" spans="1:7" ht="14" x14ac:dyDescent="0.15">
      <c r="A1232" s="322">
        <v>1845100845</v>
      </c>
      <c r="B1232" s="322" t="s">
        <v>433</v>
      </c>
      <c r="E1232">
        <v>1847404110</v>
      </c>
      <c r="G1232">
        <f t="shared" si="19"/>
        <v>1845100845</v>
      </c>
    </row>
    <row r="1233" spans="1:7" ht="14" x14ac:dyDescent="0.15">
      <c r="A1233" s="322">
        <v>1845100846</v>
      </c>
      <c r="B1233" s="322" t="s">
        <v>434</v>
      </c>
      <c r="E1233">
        <v>1847405110</v>
      </c>
      <c r="G1233">
        <f t="shared" si="19"/>
        <v>1845100846</v>
      </c>
    </row>
    <row r="1234" spans="1:7" ht="14" x14ac:dyDescent="0.15">
      <c r="A1234" s="322">
        <v>1845100847</v>
      </c>
      <c r="B1234" s="322" t="s">
        <v>94</v>
      </c>
      <c r="E1234">
        <v>1847411110</v>
      </c>
      <c r="G1234" t="e">
        <f t="shared" si="19"/>
        <v>#N/A</v>
      </c>
    </row>
    <row r="1235" spans="1:7" ht="14" x14ac:dyDescent="0.15">
      <c r="A1235" s="322">
        <v>1845100848</v>
      </c>
      <c r="B1235" s="322" t="s">
        <v>1412</v>
      </c>
      <c r="E1235">
        <v>1847411210</v>
      </c>
      <c r="G1235">
        <f t="shared" si="19"/>
        <v>1845100848</v>
      </c>
    </row>
    <row r="1236" spans="1:7" ht="14" x14ac:dyDescent="0.15">
      <c r="A1236" s="322">
        <v>1845100849</v>
      </c>
      <c r="B1236" s="322" t="s">
        <v>1413</v>
      </c>
      <c r="E1236">
        <v>1847411750</v>
      </c>
      <c r="G1236">
        <f t="shared" si="19"/>
        <v>1845100849</v>
      </c>
    </row>
    <row r="1237" spans="1:7" ht="14" x14ac:dyDescent="0.15">
      <c r="A1237" s="322">
        <v>1845100850</v>
      </c>
      <c r="B1237" s="322" t="s">
        <v>61</v>
      </c>
      <c r="E1237">
        <v>1847428110</v>
      </c>
      <c r="G1237">
        <f t="shared" si="19"/>
        <v>1845100850</v>
      </c>
    </row>
    <row r="1238" spans="1:7" ht="14" x14ac:dyDescent="0.15">
      <c r="A1238" s="322">
        <v>1845100851</v>
      </c>
      <c r="B1238" s="322" t="s">
        <v>86</v>
      </c>
      <c r="E1238">
        <v>1848200841</v>
      </c>
      <c r="G1238">
        <f t="shared" si="19"/>
        <v>1845100851</v>
      </c>
    </row>
    <row r="1239" spans="1:7" ht="14" x14ac:dyDescent="0.15">
      <c r="A1239" s="322">
        <v>1845100852</v>
      </c>
      <c r="B1239" s="322" t="s">
        <v>1480</v>
      </c>
      <c r="E1239">
        <v>1848200847</v>
      </c>
      <c r="G1239">
        <f t="shared" si="19"/>
        <v>1845100852</v>
      </c>
    </row>
    <row r="1240" spans="1:7" ht="14" x14ac:dyDescent="0.15">
      <c r="A1240" s="322">
        <v>1845100853</v>
      </c>
      <c r="B1240" s="322" t="s">
        <v>2002</v>
      </c>
      <c r="E1240">
        <v>1848300580</v>
      </c>
      <c r="G1240">
        <f t="shared" si="19"/>
        <v>1845100853</v>
      </c>
    </row>
    <row r="1241" spans="1:7" ht="14" x14ac:dyDescent="0.15">
      <c r="A1241" s="322">
        <v>1845200110</v>
      </c>
      <c r="B1241" s="322" t="s">
        <v>1013</v>
      </c>
      <c r="E1241">
        <v>1848300840</v>
      </c>
      <c r="G1241">
        <f t="shared" si="19"/>
        <v>1845200110</v>
      </c>
    </row>
    <row r="1242" spans="1:7" ht="14" x14ac:dyDescent="0.15">
      <c r="A1242" s="322">
        <v>1845200210</v>
      </c>
      <c r="B1242" s="322" t="s">
        <v>1014</v>
      </c>
      <c r="E1242">
        <v>1848400840</v>
      </c>
      <c r="G1242">
        <f t="shared" si="19"/>
        <v>1845200210</v>
      </c>
    </row>
    <row r="1243" spans="1:7" ht="14" x14ac:dyDescent="0.15">
      <c r="A1243" s="322">
        <v>1845200840</v>
      </c>
      <c r="B1243" s="322" t="s">
        <v>1030</v>
      </c>
      <c r="E1243">
        <v>1848500840</v>
      </c>
      <c r="G1243" t="e">
        <f t="shared" si="19"/>
        <v>#N/A</v>
      </c>
    </row>
    <row r="1244" spans="1:7" ht="14" x14ac:dyDescent="0.15">
      <c r="A1244" s="322">
        <v>1845200841</v>
      </c>
      <c r="B1244" s="322" t="s">
        <v>1031</v>
      </c>
      <c r="E1244">
        <v>1848800110</v>
      </c>
      <c r="G1244">
        <f t="shared" si="19"/>
        <v>1845200841</v>
      </c>
    </row>
    <row r="1245" spans="1:7" ht="14" x14ac:dyDescent="0.15">
      <c r="A1245" s="322">
        <v>1845200842</v>
      </c>
      <c r="B1245" s="322" t="s">
        <v>1032</v>
      </c>
      <c r="E1245">
        <v>1848800780</v>
      </c>
      <c r="G1245">
        <f t="shared" si="19"/>
        <v>1845200842</v>
      </c>
    </row>
    <row r="1246" spans="1:7" ht="14" x14ac:dyDescent="0.15">
      <c r="A1246" s="322">
        <v>1845200846</v>
      </c>
      <c r="B1246" s="322" t="s">
        <v>63</v>
      </c>
      <c r="E1246">
        <v>1848801210</v>
      </c>
      <c r="G1246">
        <f t="shared" si="19"/>
        <v>1845200846</v>
      </c>
    </row>
    <row r="1247" spans="1:7" ht="14" x14ac:dyDescent="0.15">
      <c r="A1247" s="322">
        <v>1845200847</v>
      </c>
      <c r="B1247" s="322" t="s">
        <v>64</v>
      </c>
      <c r="E1247">
        <v>1848801750</v>
      </c>
      <c r="G1247">
        <f t="shared" si="19"/>
        <v>1845200847</v>
      </c>
    </row>
    <row r="1248" spans="1:7" ht="14" x14ac:dyDescent="0.15">
      <c r="A1248" s="322">
        <v>1845300840</v>
      </c>
      <c r="B1248" s="322" t="s">
        <v>298</v>
      </c>
      <c r="E1248">
        <v>1849000840</v>
      </c>
      <c r="G1248">
        <f t="shared" si="19"/>
        <v>1845300840</v>
      </c>
    </row>
    <row r="1249" spans="1:7" ht="14" x14ac:dyDescent="0.15">
      <c r="A1249" s="322">
        <v>1845300841</v>
      </c>
      <c r="B1249" s="322" t="s">
        <v>439</v>
      </c>
      <c r="E1249">
        <v>1849000842</v>
      </c>
      <c r="G1249">
        <f t="shared" si="19"/>
        <v>1845300841</v>
      </c>
    </row>
    <row r="1250" spans="1:7" ht="14" x14ac:dyDescent="0.15">
      <c r="A1250" s="322">
        <v>1845300843</v>
      </c>
      <c r="B1250" s="322" t="s">
        <v>440</v>
      </c>
      <c r="E1250">
        <v>1849000843</v>
      </c>
      <c r="G1250">
        <f t="shared" si="19"/>
        <v>1845300843</v>
      </c>
    </row>
    <row r="1251" spans="1:7" ht="14" x14ac:dyDescent="0.15">
      <c r="A1251" s="322">
        <v>1845300845</v>
      </c>
      <c r="B1251" s="322" t="s">
        <v>441</v>
      </c>
      <c r="E1251">
        <v>1849000844</v>
      </c>
      <c r="G1251" t="e">
        <f t="shared" si="19"/>
        <v>#N/A</v>
      </c>
    </row>
    <row r="1252" spans="1:7" ht="14" x14ac:dyDescent="0.15">
      <c r="A1252" s="322">
        <v>1845300846</v>
      </c>
      <c r="B1252" s="322" t="s">
        <v>87</v>
      </c>
      <c r="E1252">
        <v>1849000845</v>
      </c>
      <c r="G1252">
        <f t="shared" si="19"/>
        <v>1845300846</v>
      </c>
    </row>
    <row r="1253" spans="1:7" ht="14" x14ac:dyDescent="0.15">
      <c r="A1253" s="322">
        <v>1845300847</v>
      </c>
      <c r="B1253" s="322" t="s">
        <v>65</v>
      </c>
      <c r="E1253">
        <v>1849000851</v>
      </c>
      <c r="G1253">
        <f t="shared" si="19"/>
        <v>1845300847</v>
      </c>
    </row>
    <row r="1254" spans="1:7" ht="14" x14ac:dyDescent="0.15">
      <c r="A1254" s="322">
        <v>1845300848</v>
      </c>
      <c r="B1254" s="322" t="s">
        <v>66</v>
      </c>
      <c r="E1254">
        <v>1849000852</v>
      </c>
      <c r="G1254">
        <f t="shared" si="19"/>
        <v>1845300848</v>
      </c>
    </row>
    <row r="1255" spans="1:7" ht="14" x14ac:dyDescent="0.15">
      <c r="A1255" s="322">
        <v>1846100840</v>
      </c>
      <c r="B1255" s="322" t="s">
        <v>442</v>
      </c>
      <c r="E1255">
        <v>1849001841</v>
      </c>
      <c r="G1255">
        <f t="shared" si="19"/>
        <v>1846100840</v>
      </c>
    </row>
    <row r="1256" spans="1:7" ht="14" x14ac:dyDescent="0.15">
      <c r="A1256" s="322">
        <v>1846300841</v>
      </c>
      <c r="B1256" s="322" t="s">
        <v>443</v>
      </c>
      <c r="E1256">
        <v>1849001844</v>
      </c>
      <c r="G1256">
        <f t="shared" si="19"/>
        <v>1846300841</v>
      </c>
    </row>
    <row r="1257" spans="1:7" ht="14" x14ac:dyDescent="0.15">
      <c r="A1257" s="322">
        <v>1846300843</v>
      </c>
      <c r="B1257" s="322" t="s">
        <v>444</v>
      </c>
      <c r="E1257">
        <v>1849001847</v>
      </c>
      <c r="G1257">
        <f t="shared" si="19"/>
        <v>1846300843</v>
      </c>
    </row>
    <row r="1258" spans="1:7" ht="14" x14ac:dyDescent="0.15">
      <c r="A1258" s="322">
        <v>1846400780</v>
      </c>
      <c r="B1258" s="322" t="s">
        <v>1033</v>
      </c>
      <c r="E1258">
        <v>1849001849</v>
      </c>
      <c r="G1258">
        <f t="shared" si="19"/>
        <v>1846400780</v>
      </c>
    </row>
    <row r="1259" spans="1:7" ht="14" x14ac:dyDescent="0.15">
      <c r="A1259" s="322">
        <v>1846400840</v>
      </c>
      <c r="B1259" s="322" t="s">
        <v>1415</v>
      </c>
      <c r="E1259">
        <v>1849002849</v>
      </c>
      <c r="G1259">
        <f t="shared" si="19"/>
        <v>1846400840</v>
      </c>
    </row>
    <row r="1260" spans="1:7" ht="14" x14ac:dyDescent="0.15">
      <c r="A1260" s="322">
        <v>1846400841</v>
      </c>
      <c r="B1260" s="322" t="s">
        <v>445</v>
      </c>
      <c r="E1260">
        <v>1849300840</v>
      </c>
      <c r="G1260">
        <f t="shared" si="19"/>
        <v>1846400841</v>
      </c>
    </row>
    <row r="1261" spans="1:7" ht="14" x14ac:dyDescent="0.15">
      <c r="A1261" s="322">
        <v>1846500840</v>
      </c>
      <c r="B1261" s="322" t="s">
        <v>446</v>
      </c>
      <c r="E1261" s="182"/>
      <c r="G1261">
        <f t="shared" si="19"/>
        <v>1846500840</v>
      </c>
    </row>
    <row r="1262" spans="1:7" ht="14" x14ac:dyDescent="0.15">
      <c r="A1262" s="322">
        <v>1846600840</v>
      </c>
      <c r="B1262" s="322" t="s">
        <v>1034</v>
      </c>
      <c r="E1262" s="182"/>
      <c r="G1262">
        <f t="shared" si="19"/>
        <v>1846600840</v>
      </c>
    </row>
    <row r="1263" spans="1:7" ht="14" x14ac:dyDescent="0.15">
      <c r="A1263" s="322">
        <v>1846600841</v>
      </c>
      <c r="B1263" s="322" t="s">
        <v>448</v>
      </c>
      <c r="E1263" s="182">
        <v>1851000430</v>
      </c>
      <c r="G1263">
        <f t="shared" si="19"/>
        <v>1846600841</v>
      </c>
    </row>
    <row r="1264" spans="1:7" ht="14" x14ac:dyDescent="0.15">
      <c r="A1264" s="322">
        <v>1846600843</v>
      </c>
      <c r="B1264" s="322" t="s">
        <v>1479</v>
      </c>
      <c r="E1264">
        <v>1851000750</v>
      </c>
      <c r="G1264">
        <f t="shared" si="19"/>
        <v>1846600843</v>
      </c>
    </row>
    <row r="1265" spans="1:7" ht="14" x14ac:dyDescent="0.15">
      <c r="A1265" s="322">
        <v>1846700210</v>
      </c>
      <c r="B1265" s="322" t="s">
        <v>1657</v>
      </c>
      <c r="E1265">
        <v>1851000780</v>
      </c>
      <c r="G1265">
        <f t="shared" si="19"/>
        <v>1846700210</v>
      </c>
    </row>
    <row r="1266" spans="1:7" ht="14" x14ac:dyDescent="0.15">
      <c r="A1266" s="322">
        <v>1846700840</v>
      </c>
      <c r="B1266" s="322" t="s">
        <v>1035</v>
      </c>
      <c r="E1266">
        <v>1851000810</v>
      </c>
      <c r="G1266">
        <f t="shared" si="19"/>
        <v>1846700840</v>
      </c>
    </row>
    <row r="1267" spans="1:7" ht="14" x14ac:dyDescent="0.15">
      <c r="A1267" s="322">
        <v>1846700841</v>
      </c>
      <c r="B1267" s="322" t="s">
        <v>1417</v>
      </c>
      <c r="E1267">
        <v>1851000910</v>
      </c>
      <c r="G1267">
        <f t="shared" si="19"/>
        <v>1846700841</v>
      </c>
    </row>
    <row r="1268" spans="1:7" ht="14" x14ac:dyDescent="0.15">
      <c r="A1268" s="322">
        <v>1846700843</v>
      </c>
      <c r="B1268" s="322" t="s">
        <v>303</v>
      </c>
      <c r="E1268" s="182"/>
      <c r="G1268">
        <f t="shared" si="19"/>
        <v>1846700843</v>
      </c>
    </row>
    <row r="1269" spans="1:7" ht="14" x14ac:dyDescent="0.15">
      <c r="A1269" s="322">
        <v>1846700844</v>
      </c>
      <c r="B1269" s="322" t="s">
        <v>450</v>
      </c>
      <c r="E1269" s="182"/>
      <c r="G1269">
        <f t="shared" si="19"/>
        <v>1846700844</v>
      </c>
    </row>
    <row r="1270" spans="1:7" ht="14" x14ac:dyDescent="0.15">
      <c r="A1270" s="322">
        <v>1846700845</v>
      </c>
      <c r="B1270" s="322" t="s">
        <v>451</v>
      </c>
      <c r="E1270">
        <v>1860000410</v>
      </c>
      <c r="G1270" t="e">
        <f t="shared" si="19"/>
        <v>#N/A</v>
      </c>
    </row>
    <row r="1271" spans="1:7" ht="14" x14ac:dyDescent="0.15">
      <c r="A1271" s="322">
        <v>1846700846</v>
      </c>
      <c r="B1271" s="322" t="s">
        <v>452</v>
      </c>
      <c r="E1271">
        <v>1860000470</v>
      </c>
      <c r="G1271">
        <f t="shared" si="19"/>
        <v>1846700846</v>
      </c>
    </row>
    <row r="1272" spans="1:7" ht="14" x14ac:dyDescent="0.15">
      <c r="A1272" s="322">
        <v>1846700847</v>
      </c>
      <c r="B1272" s="322" t="s">
        <v>453</v>
      </c>
      <c r="E1272">
        <v>1860000511</v>
      </c>
      <c r="G1272" t="e">
        <f t="shared" si="19"/>
        <v>#N/A</v>
      </c>
    </row>
    <row r="1273" spans="1:7" ht="14" x14ac:dyDescent="0.15">
      <c r="A1273" s="322">
        <v>1846700848</v>
      </c>
      <c r="B1273" s="322" t="s">
        <v>454</v>
      </c>
      <c r="E1273">
        <v>1860000540</v>
      </c>
      <c r="G1273">
        <f t="shared" si="19"/>
        <v>1846700848</v>
      </c>
    </row>
    <row r="1274" spans="1:7" ht="14" x14ac:dyDescent="0.15">
      <c r="A1274" s="322">
        <v>1846700849</v>
      </c>
      <c r="B1274" s="322" t="s">
        <v>88</v>
      </c>
      <c r="E1274">
        <v>1860000581</v>
      </c>
      <c r="G1274">
        <f t="shared" si="19"/>
        <v>1846700849</v>
      </c>
    </row>
    <row r="1275" spans="1:7" ht="14" x14ac:dyDescent="0.15">
      <c r="A1275" s="322">
        <v>1846800842</v>
      </c>
      <c r="B1275" s="322" t="s">
        <v>455</v>
      </c>
      <c r="E1275">
        <v>1860000780</v>
      </c>
      <c r="G1275">
        <f t="shared" si="19"/>
        <v>1846800842</v>
      </c>
    </row>
    <row r="1276" spans="1:7" ht="14" x14ac:dyDescent="0.15">
      <c r="A1276" s="322">
        <v>1846800843</v>
      </c>
      <c r="B1276" s="322" t="s">
        <v>456</v>
      </c>
      <c r="E1276">
        <v>1860000910</v>
      </c>
      <c r="G1276">
        <f t="shared" si="19"/>
        <v>1846800843</v>
      </c>
    </row>
    <row r="1277" spans="1:7" ht="14" x14ac:dyDescent="0.15">
      <c r="A1277" s="322">
        <v>1846800844</v>
      </c>
      <c r="B1277" s="322" t="s">
        <v>457</v>
      </c>
      <c r="E1277">
        <v>1860000930</v>
      </c>
      <c r="G1277">
        <f t="shared" si="19"/>
        <v>1846800844</v>
      </c>
    </row>
    <row r="1278" spans="1:7" ht="14" x14ac:dyDescent="0.15">
      <c r="A1278" s="322">
        <v>1846800845</v>
      </c>
      <c r="B1278" s="322" t="s">
        <v>458</v>
      </c>
      <c r="E1278">
        <v>1869000110</v>
      </c>
      <c r="G1278" t="e">
        <f t="shared" si="19"/>
        <v>#N/A</v>
      </c>
    </row>
    <row r="1279" spans="1:7" ht="14" x14ac:dyDescent="0.15">
      <c r="A1279" s="322">
        <v>1846800846</v>
      </c>
      <c r="B1279" s="322" t="s">
        <v>459</v>
      </c>
      <c r="E1279" s="182"/>
      <c r="G1279">
        <f t="shared" si="19"/>
        <v>1846800846</v>
      </c>
    </row>
    <row r="1280" spans="1:7" ht="14" x14ac:dyDescent="0.15">
      <c r="A1280" s="322">
        <v>1846800847</v>
      </c>
      <c r="B1280" s="322" t="s">
        <v>1419</v>
      </c>
      <c r="E1280" s="182"/>
      <c r="G1280" t="e">
        <f t="shared" si="19"/>
        <v>#N/A</v>
      </c>
    </row>
    <row r="1281" spans="1:7" ht="14" x14ac:dyDescent="0.15">
      <c r="A1281" s="322">
        <v>1846800848</v>
      </c>
      <c r="B1281" s="322" t="s">
        <v>1627</v>
      </c>
      <c r="E1281" s="182">
        <v>1879000810</v>
      </c>
      <c r="G1281">
        <f t="shared" si="19"/>
        <v>1846800848</v>
      </c>
    </row>
    <row r="1282" spans="1:7" ht="14" x14ac:dyDescent="0.15">
      <c r="A1282" s="322">
        <v>1846800850</v>
      </c>
      <c r="B1282" s="322" t="s">
        <v>67</v>
      </c>
      <c r="E1282" s="182"/>
      <c r="G1282">
        <f t="shared" si="19"/>
        <v>1846800850</v>
      </c>
    </row>
    <row r="1283" spans="1:7" ht="14" x14ac:dyDescent="0.15">
      <c r="A1283" s="322">
        <v>1846800851</v>
      </c>
      <c r="B1283" s="322" t="s">
        <v>68</v>
      </c>
      <c r="E1283" s="182"/>
      <c r="G1283" t="e">
        <f t="shared" ref="G1283:G1346" si="20">VLOOKUP(A1283,$E$2:$E$1373,1,FALSE)</f>
        <v>#N/A</v>
      </c>
    </row>
    <row r="1284" spans="1:7" ht="14" x14ac:dyDescent="0.15">
      <c r="A1284" s="322">
        <v>1846900780</v>
      </c>
      <c r="B1284" s="322" t="s">
        <v>1548</v>
      </c>
      <c r="E1284" s="182">
        <v>1913000110</v>
      </c>
      <c r="G1284">
        <f t="shared" si="20"/>
        <v>1846900780</v>
      </c>
    </row>
    <row r="1285" spans="1:7" ht="14" x14ac:dyDescent="0.15">
      <c r="A1285" s="322">
        <v>1847100110</v>
      </c>
      <c r="B1285" s="322" t="s">
        <v>1655</v>
      </c>
      <c r="E1285" s="182">
        <v>1913000750</v>
      </c>
      <c r="G1285">
        <f t="shared" si="20"/>
        <v>1847100110</v>
      </c>
    </row>
    <row r="1286" spans="1:7" ht="14" x14ac:dyDescent="0.15">
      <c r="A1286" s="322">
        <v>1847100210</v>
      </c>
      <c r="B1286" s="322" t="s">
        <v>1939</v>
      </c>
      <c r="E1286" s="182"/>
      <c r="G1286">
        <f t="shared" si="20"/>
        <v>1847100210</v>
      </c>
    </row>
    <row r="1287" spans="1:7" ht="14" x14ac:dyDescent="0.15">
      <c r="A1287" s="322">
        <v>1847100780</v>
      </c>
      <c r="B1287" s="322" t="s">
        <v>1036</v>
      </c>
      <c r="E1287">
        <v>1931000110</v>
      </c>
      <c r="G1287" t="e">
        <f t="shared" si="20"/>
        <v>#N/A</v>
      </c>
    </row>
    <row r="1288" spans="1:7" ht="14" x14ac:dyDescent="0.15">
      <c r="A1288" s="322">
        <v>1847100841</v>
      </c>
      <c r="B1288" s="322" t="s">
        <v>461</v>
      </c>
      <c r="E1288">
        <v>1931000511</v>
      </c>
      <c r="G1288">
        <f t="shared" si="20"/>
        <v>1847100841</v>
      </c>
    </row>
    <row r="1289" spans="1:7" ht="14" x14ac:dyDescent="0.15">
      <c r="A1289" s="322">
        <v>1847100843</v>
      </c>
      <c r="B1289" s="322" t="s">
        <v>462</v>
      </c>
      <c r="E1289">
        <v>1931000560</v>
      </c>
      <c r="G1289">
        <f t="shared" si="20"/>
        <v>1847100843</v>
      </c>
    </row>
    <row r="1290" spans="1:7" ht="14" x14ac:dyDescent="0.15">
      <c r="A1290" s="322">
        <v>1847100845</v>
      </c>
      <c r="B1290" s="322" t="s">
        <v>1421</v>
      </c>
      <c r="E1290">
        <v>1931000581</v>
      </c>
      <c r="G1290">
        <f t="shared" si="20"/>
        <v>1847100845</v>
      </c>
    </row>
    <row r="1291" spans="1:7" ht="14" x14ac:dyDescent="0.15">
      <c r="A1291" s="322">
        <v>1847100846</v>
      </c>
      <c r="B1291" s="322" t="s">
        <v>50</v>
      </c>
      <c r="E1291">
        <v>1931000750</v>
      </c>
      <c r="G1291">
        <f t="shared" si="20"/>
        <v>1847100846</v>
      </c>
    </row>
    <row r="1292" spans="1:7" ht="14" x14ac:dyDescent="0.15">
      <c r="A1292" s="322">
        <v>1847100849</v>
      </c>
      <c r="B1292" s="322" t="s">
        <v>1957</v>
      </c>
      <c r="E1292">
        <v>1931000751</v>
      </c>
      <c r="G1292">
        <f t="shared" si="20"/>
        <v>1847100849</v>
      </c>
    </row>
    <row r="1293" spans="1:7" ht="14" x14ac:dyDescent="0.15">
      <c r="A1293" s="322">
        <v>1847100850</v>
      </c>
      <c r="B1293" s="322" t="s">
        <v>1145</v>
      </c>
      <c r="E1293">
        <v>1931000930</v>
      </c>
      <c r="G1293" t="e">
        <f t="shared" si="20"/>
        <v>#N/A</v>
      </c>
    </row>
    <row r="1294" spans="1:7" ht="14" x14ac:dyDescent="0.15">
      <c r="A1294" s="322">
        <v>1847100852</v>
      </c>
      <c r="B1294" s="322" t="s">
        <v>69</v>
      </c>
      <c r="E1294">
        <v>1931000980</v>
      </c>
      <c r="G1294">
        <f t="shared" si="20"/>
        <v>1847100852</v>
      </c>
    </row>
    <row r="1295" spans="1:7" ht="14" x14ac:dyDescent="0.15">
      <c r="A1295" s="322">
        <v>1847100853</v>
      </c>
      <c r="B1295" s="322" t="s">
        <v>1958</v>
      </c>
      <c r="E1295">
        <v>1937000110</v>
      </c>
      <c r="G1295">
        <f t="shared" si="20"/>
        <v>1847100853</v>
      </c>
    </row>
    <row r="1296" spans="1:7" ht="14" x14ac:dyDescent="0.15">
      <c r="A1296" s="322">
        <v>1847100854</v>
      </c>
      <c r="B1296" s="322" t="s">
        <v>1959</v>
      </c>
      <c r="E1296">
        <v>1937000430</v>
      </c>
      <c r="G1296">
        <f t="shared" si="20"/>
        <v>1847100854</v>
      </c>
    </row>
    <row r="1297" spans="1:7" ht="14" x14ac:dyDescent="0.15">
      <c r="A1297" s="322">
        <v>1847110110</v>
      </c>
      <c r="B1297" s="322" t="s">
        <v>2063</v>
      </c>
      <c r="E1297">
        <v>1937000780</v>
      </c>
      <c r="G1297">
        <f t="shared" si="20"/>
        <v>1847110110</v>
      </c>
    </row>
    <row r="1298" spans="1:7" ht="14" x14ac:dyDescent="0.15">
      <c r="A1298" s="322">
        <v>1847110780</v>
      </c>
      <c r="B1298" s="322" t="s">
        <v>2167</v>
      </c>
      <c r="E1298">
        <v>1938000110</v>
      </c>
      <c r="G1298">
        <f t="shared" si="20"/>
        <v>1847110780</v>
      </c>
    </row>
    <row r="1299" spans="1:7" ht="14" x14ac:dyDescent="0.15">
      <c r="A1299" s="322">
        <v>1847110842</v>
      </c>
      <c r="B1299" s="322" t="s">
        <v>464</v>
      </c>
      <c r="E1299">
        <v>1938000422</v>
      </c>
      <c r="G1299">
        <f t="shared" si="20"/>
        <v>1847110842</v>
      </c>
    </row>
    <row r="1300" spans="1:7" ht="14" x14ac:dyDescent="0.15">
      <c r="A1300" s="322">
        <v>1847300430</v>
      </c>
      <c r="B1300" s="322" t="s">
        <v>2168</v>
      </c>
      <c r="E1300">
        <v>1938000430</v>
      </c>
      <c r="G1300">
        <f t="shared" si="20"/>
        <v>1847300430</v>
      </c>
    </row>
    <row r="1301" spans="1:7" ht="14" x14ac:dyDescent="0.15">
      <c r="A1301" s="322">
        <v>1847300840</v>
      </c>
      <c r="B1301" s="322" t="s">
        <v>466</v>
      </c>
      <c r="E1301">
        <v>1938000450</v>
      </c>
      <c r="G1301">
        <f t="shared" si="20"/>
        <v>1847300840</v>
      </c>
    </row>
    <row r="1302" spans="1:7" ht="14" x14ac:dyDescent="0.15">
      <c r="A1302" s="322">
        <v>1847300842</v>
      </c>
      <c r="B1302" s="322" t="s">
        <v>467</v>
      </c>
      <c r="E1302">
        <v>1938000511</v>
      </c>
      <c r="G1302" t="e">
        <f t="shared" si="20"/>
        <v>#N/A</v>
      </c>
    </row>
    <row r="1303" spans="1:7" ht="14" x14ac:dyDescent="0.15">
      <c r="A1303" s="322">
        <v>1847300846</v>
      </c>
      <c r="B1303" s="322" t="s">
        <v>1425</v>
      </c>
      <c r="E1303">
        <v>1938000530</v>
      </c>
      <c r="G1303">
        <f t="shared" si="20"/>
        <v>1847300846</v>
      </c>
    </row>
    <row r="1304" spans="1:7" ht="14" x14ac:dyDescent="0.15">
      <c r="A1304" s="322">
        <v>1847300847</v>
      </c>
      <c r="B1304" s="322" t="s">
        <v>89</v>
      </c>
      <c r="E1304">
        <v>1938000540</v>
      </c>
      <c r="G1304">
        <f t="shared" si="20"/>
        <v>1847300847</v>
      </c>
    </row>
    <row r="1305" spans="1:7" ht="14" x14ac:dyDescent="0.15">
      <c r="A1305" s="322">
        <v>1847300848</v>
      </c>
      <c r="B1305" s="322" t="s">
        <v>1478</v>
      </c>
      <c r="E1305">
        <v>1938000560</v>
      </c>
      <c r="G1305">
        <f t="shared" si="20"/>
        <v>1847300848</v>
      </c>
    </row>
    <row r="1306" spans="1:7" ht="14" x14ac:dyDescent="0.15">
      <c r="A1306" s="322">
        <v>1847400422</v>
      </c>
      <c r="B1306" s="322" t="s">
        <v>1039</v>
      </c>
      <c r="E1306">
        <v>1938000570</v>
      </c>
      <c r="G1306">
        <f t="shared" si="20"/>
        <v>1847400422</v>
      </c>
    </row>
    <row r="1307" spans="1:7" ht="14" x14ac:dyDescent="0.15">
      <c r="A1307" s="322">
        <v>1847400540</v>
      </c>
      <c r="B1307" s="322" t="s">
        <v>875</v>
      </c>
      <c r="E1307">
        <v>1938000571</v>
      </c>
      <c r="G1307">
        <f t="shared" si="20"/>
        <v>1847400540</v>
      </c>
    </row>
    <row r="1308" spans="1:7" ht="14" x14ac:dyDescent="0.15">
      <c r="A1308" s="322">
        <v>1847400560</v>
      </c>
      <c r="B1308" s="322" t="s">
        <v>1040</v>
      </c>
      <c r="E1308">
        <v>1938000581</v>
      </c>
      <c r="G1308">
        <f t="shared" si="20"/>
        <v>1847400560</v>
      </c>
    </row>
    <row r="1309" spans="1:7" ht="14" x14ac:dyDescent="0.15">
      <c r="A1309" s="322">
        <v>1847400720</v>
      </c>
      <c r="B1309" s="322" t="s">
        <v>689</v>
      </c>
      <c r="E1309">
        <v>1938000740</v>
      </c>
      <c r="G1309">
        <f t="shared" si="20"/>
        <v>1847400720</v>
      </c>
    </row>
    <row r="1310" spans="1:7" ht="14" x14ac:dyDescent="0.15">
      <c r="A1310" s="322">
        <v>1847400840</v>
      </c>
      <c r="B1310" s="322" t="s">
        <v>200</v>
      </c>
      <c r="E1310">
        <v>1938000750</v>
      </c>
      <c r="G1310">
        <f t="shared" si="20"/>
        <v>1847400840</v>
      </c>
    </row>
    <row r="1311" spans="1:7" ht="14" x14ac:dyDescent="0.15">
      <c r="A1311" s="322">
        <v>1847400841</v>
      </c>
      <c r="B1311" s="322" t="s">
        <v>1041</v>
      </c>
      <c r="E1311">
        <v>1938000751</v>
      </c>
      <c r="G1311">
        <f t="shared" si="20"/>
        <v>1847400841</v>
      </c>
    </row>
    <row r="1312" spans="1:7" ht="14" x14ac:dyDescent="0.15">
      <c r="A1312" s="322">
        <v>1847400843</v>
      </c>
      <c r="B1312" s="322" t="s">
        <v>1042</v>
      </c>
      <c r="E1312">
        <v>1938000752</v>
      </c>
      <c r="G1312">
        <f t="shared" si="20"/>
        <v>1847400843</v>
      </c>
    </row>
    <row r="1313" spans="1:7" ht="14" x14ac:dyDescent="0.15">
      <c r="A1313" s="322">
        <v>1847400844</v>
      </c>
      <c r="B1313" s="322" t="s">
        <v>1043</v>
      </c>
      <c r="E1313">
        <v>1938000760</v>
      </c>
      <c r="G1313">
        <f t="shared" si="20"/>
        <v>1847400844</v>
      </c>
    </row>
    <row r="1314" spans="1:7" ht="14" x14ac:dyDescent="0.15">
      <c r="A1314" s="322">
        <v>1847400845</v>
      </c>
      <c r="B1314" s="322" t="s">
        <v>473</v>
      </c>
      <c r="E1314">
        <v>1938000780</v>
      </c>
      <c r="G1314">
        <f t="shared" si="20"/>
        <v>1847400845</v>
      </c>
    </row>
    <row r="1315" spans="1:7" ht="14" x14ac:dyDescent="0.15">
      <c r="A1315" s="322">
        <v>1847400846</v>
      </c>
      <c r="B1315" s="322" t="s">
        <v>2027</v>
      </c>
      <c r="E1315">
        <v>1938000930</v>
      </c>
      <c r="G1315">
        <f t="shared" si="20"/>
        <v>1847400846</v>
      </c>
    </row>
    <row r="1316" spans="1:7" ht="14" x14ac:dyDescent="0.15">
      <c r="A1316" s="322">
        <v>1847400930</v>
      </c>
      <c r="B1316" s="322" t="s">
        <v>2169</v>
      </c>
      <c r="E1316">
        <v>1938000980</v>
      </c>
      <c r="G1316">
        <f t="shared" si="20"/>
        <v>1847400930</v>
      </c>
    </row>
    <row r="1317" spans="1:7" ht="14" x14ac:dyDescent="0.15">
      <c r="A1317" s="322">
        <v>1847401110</v>
      </c>
      <c r="B1317" s="322" t="s">
        <v>1015</v>
      </c>
      <c r="E1317">
        <v>1938001731</v>
      </c>
      <c r="G1317">
        <f t="shared" si="20"/>
        <v>1847401110</v>
      </c>
    </row>
    <row r="1318" spans="1:7" ht="14" x14ac:dyDescent="0.15">
      <c r="A1318" s="322">
        <v>1847402110</v>
      </c>
      <c r="B1318" s="322" t="s">
        <v>1016</v>
      </c>
      <c r="E1318">
        <v>1938100110</v>
      </c>
      <c r="G1318">
        <f t="shared" si="20"/>
        <v>1847402110</v>
      </c>
    </row>
    <row r="1319" spans="1:7" ht="14" x14ac:dyDescent="0.15">
      <c r="A1319" s="322">
        <v>1847404110</v>
      </c>
      <c r="B1319" s="322" t="s">
        <v>1017</v>
      </c>
      <c r="E1319">
        <v>1938100780</v>
      </c>
      <c r="G1319">
        <f t="shared" si="20"/>
        <v>1847404110</v>
      </c>
    </row>
    <row r="1320" spans="1:7" ht="14" x14ac:dyDescent="0.15">
      <c r="A1320" s="322">
        <v>1847405110</v>
      </c>
      <c r="B1320" s="322" t="s">
        <v>1018</v>
      </c>
      <c r="E1320">
        <v>1938200110</v>
      </c>
      <c r="G1320">
        <f t="shared" si="20"/>
        <v>1847405110</v>
      </c>
    </row>
    <row r="1321" spans="1:7" ht="14" x14ac:dyDescent="0.15">
      <c r="A1321" s="322">
        <v>1847411110</v>
      </c>
      <c r="B1321" s="322" t="s">
        <v>1019</v>
      </c>
      <c r="E1321">
        <v>1938200511</v>
      </c>
      <c r="G1321">
        <f t="shared" si="20"/>
        <v>1847411110</v>
      </c>
    </row>
    <row r="1322" spans="1:7" ht="14" x14ac:dyDescent="0.15">
      <c r="A1322" s="322">
        <v>1847411210</v>
      </c>
      <c r="B1322" s="322" t="s">
        <v>1477</v>
      </c>
      <c r="E1322">
        <v>1938200521</v>
      </c>
      <c r="G1322">
        <f t="shared" si="20"/>
        <v>1847411210</v>
      </c>
    </row>
    <row r="1323" spans="1:7" ht="14" x14ac:dyDescent="0.15">
      <c r="A1323" s="322">
        <v>1847411750</v>
      </c>
      <c r="B1323" s="322" t="s">
        <v>1044</v>
      </c>
      <c r="E1323">
        <v>1938200560</v>
      </c>
      <c r="G1323">
        <f t="shared" si="20"/>
        <v>1847411750</v>
      </c>
    </row>
    <row r="1324" spans="1:7" ht="14" x14ac:dyDescent="0.15">
      <c r="A1324" s="322">
        <v>1847428110</v>
      </c>
      <c r="B1324" s="322" t="s">
        <v>919</v>
      </c>
      <c r="E1324">
        <v>1938200570</v>
      </c>
      <c r="G1324">
        <f t="shared" si="20"/>
        <v>1847428110</v>
      </c>
    </row>
    <row r="1325" spans="1:7" ht="14" x14ac:dyDescent="0.15">
      <c r="A1325" s="322">
        <v>1848200841</v>
      </c>
      <c r="B1325" s="322" t="s">
        <v>1045</v>
      </c>
      <c r="E1325">
        <v>1938200581</v>
      </c>
      <c r="G1325">
        <f t="shared" si="20"/>
        <v>1848200841</v>
      </c>
    </row>
    <row r="1326" spans="1:7" ht="14" x14ac:dyDescent="0.15">
      <c r="A1326" s="322">
        <v>1848200847</v>
      </c>
      <c r="B1326" s="322" t="s">
        <v>1365</v>
      </c>
      <c r="E1326">
        <v>1938200780</v>
      </c>
      <c r="G1326">
        <f t="shared" si="20"/>
        <v>1848200847</v>
      </c>
    </row>
    <row r="1327" spans="1:7" ht="14" x14ac:dyDescent="0.15">
      <c r="A1327" s="322">
        <v>1848300580</v>
      </c>
      <c r="B1327" s="322" t="s">
        <v>1046</v>
      </c>
      <c r="E1327">
        <v>1938200930</v>
      </c>
      <c r="G1327">
        <f t="shared" si="20"/>
        <v>1848300580</v>
      </c>
    </row>
    <row r="1328" spans="1:7" ht="14" x14ac:dyDescent="0.15">
      <c r="A1328" s="322">
        <v>1848300840</v>
      </c>
      <c r="B1328" s="322" t="s">
        <v>1047</v>
      </c>
      <c r="E1328">
        <v>1939000110</v>
      </c>
      <c r="G1328">
        <f t="shared" si="20"/>
        <v>1848300840</v>
      </c>
    </row>
    <row r="1329" spans="1:7" ht="14" x14ac:dyDescent="0.15">
      <c r="A1329" s="322">
        <v>1848400840</v>
      </c>
      <c r="B1329" s="322" t="s">
        <v>476</v>
      </c>
      <c r="E1329">
        <v>1939000410</v>
      </c>
      <c r="G1329">
        <f t="shared" si="20"/>
        <v>1848400840</v>
      </c>
    </row>
    <row r="1330" spans="1:7" ht="14" x14ac:dyDescent="0.15">
      <c r="A1330" s="322">
        <v>1848500840</v>
      </c>
      <c r="B1330" s="322" t="s">
        <v>477</v>
      </c>
      <c r="E1330">
        <v>1939000430</v>
      </c>
      <c r="G1330">
        <f t="shared" si="20"/>
        <v>1848500840</v>
      </c>
    </row>
    <row r="1331" spans="1:7" ht="14" x14ac:dyDescent="0.15">
      <c r="A1331" s="322">
        <v>1848800110</v>
      </c>
      <c r="B1331" s="322" t="s">
        <v>523</v>
      </c>
      <c r="E1331">
        <v>1939000511</v>
      </c>
      <c r="G1331">
        <f t="shared" si="20"/>
        <v>1848800110</v>
      </c>
    </row>
    <row r="1332" spans="1:7" ht="14" x14ac:dyDescent="0.15">
      <c r="A1332" s="322">
        <v>1848800780</v>
      </c>
      <c r="B1332" s="322" t="s">
        <v>1048</v>
      </c>
      <c r="E1332">
        <v>1939000560</v>
      </c>
      <c r="G1332">
        <f t="shared" si="20"/>
        <v>1848800780</v>
      </c>
    </row>
    <row r="1333" spans="1:7" ht="14" x14ac:dyDescent="0.15">
      <c r="A1333" s="322">
        <v>1848801210</v>
      </c>
      <c r="B1333" s="322" t="s">
        <v>1020</v>
      </c>
      <c r="E1333">
        <v>1939000570</v>
      </c>
      <c r="G1333">
        <f t="shared" si="20"/>
        <v>1848801210</v>
      </c>
    </row>
    <row r="1334" spans="1:7" ht="14" x14ac:dyDescent="0.15">
      <c r="A1334" s="322">
        <v>1848801750</v>
      </c>
      <c r="B1334" s="322" t="s">
        <v>1049</v>
      </c>
      <c r="E1334">
        <v>1939000581</v>
      </c>
      <c r="G1334">
        <f t="shared" si="20"/>
        <v>1848801750</v>
      </c>
    </row>
    <row r="1335" spans="1:7" ht="14" x14ac:dyDescent="0.15">
      <c r="A1335" s="322">
        <v>1849000840</v>
      </c>
      <c r="B1335" s="322" t="s">
        <v>1050</v>
      </c>
      <c r="E1335">
        <v>1939000730</v>
      </c>
      <c r="G1335">
        <f t="shared" si="20"/>
        <v>1849000840</v>
      </c>
    </row>
    <row r="1336" spans="1:7" ht="14" x14ac:dyDescent="0.15">
      <c r="A1336" s="322">
        <v>1849000841</v>
      </c>
      <c r="B1336" s="322" t="s">
        <v>1051</v>
      </c>
      <c r="E1336">
        <v>1939000731</v>
      </c>
      <c r="G1336" t="e">
        <f t="shared" si="20"/>
        <v>#N/A</v>
      </c>
    </row>
    <row r="1337" spans="1:7" ht="14" x14ac:dyDescent="0.15">
      <c r="A1337" s="322">
        <v>1849000842</v>
      </c>
      <c r="B1337" s="322" t="s">
        <v>1052</v>
      </c>
      <c r="E1337">
        <v>1939000750</v>
      </c>
      <c r="G1337">
        <f t="shared" si="20"/>
        <v>1849000842</v>
      </c>
    </row>
    <row r="1338" spans="1:7" ht="14" x14ac:dyDescent="0.15">
      <c r="A1338" s="322">
        <v>1849000843</v>
      </c>
      <c r="B1338" s="322" t="s">
        <v>1053</v>
      </c>
      <c r="E1338">
        <v>1939000751</v>
      </c>
      <c r="G1338">
        <f t="shared" si="20"/>
        <v>1849000843</v>
      </c>
    </row>
    <row r="1339" spans="1:7" ht="14" x14ac:dyDescent="0.15">
      <c r="A1339" s="322">
        <v>1849000844</v>
      </c>
      <c r="B1339" s="322" t="s">
        <v>1054</v>
      </c>
      <c r="E1339">
        <v>1939000780</v>
      </c>
      <c r="G1339">
        <f t="shared" si="20"/>
        <v>1849000844</v>
      </c>
    </row>
    <row r="1340" spans="1:7" ht="14" x14ac:dyDescent="0.15">
      <c r="A1340" s="322">
        <v>1849000845</v>
      </c>
      <c r="B1340" s="322" t="s">
        <v>1055</v>
      </c>
      <c r="E1340">
        <v>1939000910</v>
      </c>
      <c r="G1340">
        <f t="shared" si="20"/>
        <v>1849000845</v>
      </c>
    </row>
    <row r="1341" spans="1:7" ht="14" x14ac:dyDescent="0.15">
      <c r="A1341" s="322">
        <v>1849000846</v>
      </c>
      <c r="B1341" s="322" t="s">
        <v>1146</v>
      </c>
      <c r="E1341">
        <v>1939000980</v>
      </c>
      <c r="G1341" t="e">
        <f t="shared" si="20"/>
        <v>#N/A</v>
      </c>
    </row>
    <row r="1342" spans="1:7" ht="14" x14ac:dyDescent="0.15">
      <c r="A1342" s="322">
        <v>1849000851</v>
      </c>
      <c r="B1342" s="322" t="s">
        <v>70</v>
      </c>
      <c r="E1342">
        <v>1939002530</v>
      </c>
      <c r="G1342">
        <f t="shared" si="20"/>
        <v>1849000851</v>
      </c>
    </row>
    <row r="1343" spans="1:7" ht="14" x14ac:dyDescent="0.15">
      <c r="A1343" s="322">
        <v>1849000852</v>
      </c>
      <c r="B1343" s="322" t="s">
        <v>2087</v>
      </c>
      <c r="E1343">
        <v>1939003530</v>
      </c>
      <c r="G1343">
        <f t="shared" si="20"/>
        <v>1849000852</v>
      </c>
    </row>
    <row r="1344" spans="1:7" ht="14" x14ac:dyDescent="0.15">
      <c r="A1344" s="322">
        <v>1849001841</v>
      </c>
      <c r="B1344" s="322" t="s">
        <v>1366</v>
      </c>
      <c r="E1344">
        <v>1939003731</v>
      </c>
      <c r="G1344">
        <f t="shared" si="20"/>
        <v>1849001841</v>
      </c>
    </row>
    <row r="1345" spans="1:7" ht="14" x14ac:dyDescent="0.15">
      <c r="A1345" s="322">
        <v>1849001844</v>
      </c>
      <c r="B1345" s="322" t="s">
        <v>485</v>
      </c>
      <c r="E1345">
        <v>1939004731</v>
      </c>
      <c r="G1345">
        <f t="shared" si="20"/>
        <v>1849001844</v>
      </c>
    </row>
    <row r="1346" spans="1:7" ht="14" x14ac:dyDescent="0.15">
      <c r="A1346" s="322">
        <v>1849001847</v>
      </c>
      <c r="B1346" s="322" t="s">
        <v>486</v>
      </c>
      <c r="E1346">
        <v>1939006731</v>
      </c>
      <c r="G1346">
        <f t="shared" si="20"/>
        <v>1849001847</v>
      </c>
    </row>
    <row r="1347" spans="1:7" ht="14" x14ac:dyDescent="0.15">
      <c r="A1347" s="322">
        <v>1849001849</v>
      </c>
      <c r="B1347" s="322" t="s">
        <v>487</v>
      </c>
      <c r="E1347">
        <v>1939011731</v>
      </c>
      <c r="G1347">
        <f t="shared" ref="G1347:G1410" si="21">VLOOKUP(A1347,$E$2:$E$1373,1,FALSE)</f>
        <v>1849001849</v>
      </c>
    </row>
    <row r="1348" spans="1:7" ht="14" x14ac:dyDescent="0.15">
      <c r="A1348" s="322">
        <v>1849002849</v>
      </c>
      <c r="B1348" s="322" t="s">
        <v>1056</v>
      </c>
      <c r="E1348">
        <v>1939012731</v>
      </c>
      <c r="G1348">
        <f t="shared" si="21"/>
        <v>1849002849</v>
      </c>
    </row>
    <row r="1349" spans="1:7" ht="14" x14ac:dyDescent="0.15">
      <c r="A1349" s="322">
        <v>1849300840</v>
      </c>
      <c r="B1349" s="322" t="s">
        <v>1439</v>
      </c>
      <c r="E1349">
        <v>1939013731</v>
      </c>
      <c r="G1349">
        <f t="shared" si="21"/>
        <v>1849300840</v>
      </c>
    </row>
    <row r="1350" spans="1:7" ht="14" x14ac:dyDescent="0.15">
      <c r="A1350" s="322">
        <v>1849999780</v>
      </c>
      <c r="B1350" s="322" t="s">
        <v>1165</v>
      </c>
      <c r="E1350">
        <v>1939014530</v>
      </c>
      <c r="G1350" t="e">
        <f t="shared" si="21"/>
        <v>#N/A</v>
      </c>
    </row>
    <row r="1351" spans="1:7" ht="14" x14ac:dyDescent="0.15">
      <c r="A1351" s="322">
        <v>1851000430</v>
      </c>
      <c r="B1351" s="322" t="s">
        <v>2170</v>
      </c>
      <c r="E1351">
        <v>1939015731</v>
      </c>
      <c r="G1351">
        <f t="shared" si="21"/>
        <v>1851000430</v>
      </c>
    </row>
    <row r="1352" spans="1:7" ht="14" x14ac:dyDescent="0.15">
      <c r="A1352" s="322">
        <v>1851000750</v>
      </c>
      <c r="B1352" s="322" t="s">
        <v>1915</v>
      </c>
      <c r="E1352">
        <v>1939016731</v>
      </c>
      <c r="G1352">
        <f t="shared" si="21"/>
        <v>1851000750</v>
      </c>
    </row>
    <row r="1353" spans="1:7" ht="14" x14ac:dyDescent="0.15">
      <c r="A1353" s="322">
        <v>1851000780</v>
      </c>
      <c r="B1353" s="322" t="s">
        <v>1916</v>
      </c>
      <c r="E1353">
        <v>1939019731</v>
      </c>
      <c r="G1353">
        <f t="shared" si="21"/>
        <v>1851000780</v>
      </c>
    </row>
    <row r="1354" spans="1:7" ht="14" x14ac:dyDescent="0.15">
      <c r="A1354" s="322">
        <v>1851000810</v>
      </c>
      <c r="B1354" s="322" t="s">
        <v>794</v>
      </c>
      <c r="E1354">
        <v>1939033731</v>
      </c>
      <c r="G1354">
        <f t="shared" si="21"/>
        <v>1851000810</v>
      </c>
    </row>
    <row r="1355" spans="1:7" ht="14" x14ac:dyDescent="0.15">
      <c r="A1355" s="322">
        <v>1851000910</v>
      </c>
      <c r="B1355" s="322" t="s">
        <v>1628</v>
      </c>
      <c r="E1355">
        <v>1939043731</v>
      </c>
      <c r="G1355">
        <f t="shared" si="21"/>
        <v>1851000910</v>
      </c>
    </row>
    <row r="1356" spans="1:7" ht="14" x14ac:dyDescent="0.15">
      <c r="A1356" s="322">
        <v>1860000410</v>
      </c>
      <c r="B1356" s="322" t="s">
        <v>873</v>
      </c>
      <c r="E1356">
        <v>1939100730</v>
      </c>
      <c r="G1356">
        <f t="shared" si="21"/>
        <v>1860000410</v>
      </c>
    </row>
    <row r="1357" spans="1:7" ht="14" x14ac:dyDescent="0.15">
      <c r="A1357" s="322">
        <v>1860000470</v>
      </c>
      <c r="B1357" s="322" t="s">
        <v>884</v>
      </c>
      <c r="E1357">
        <v>1939200731</v>
      </c>
      <c r="G1357">
        <f t="shared" si="21"/>
        <v>1860000470</v>
      </c>
    </row>
    <row r="1358" spans="1:7" ht="14" x14ac:dyDescent="0.15">
      <c r="A1358" s="322">
        <v>1860000511</v>
      </c>
      <c r="B1358" s="322" t="s">
        <v>1918</v>
      </c>
      <c r="E1358">
        <v>1939300731</v>
      </c>
      <c r="G1358">
        <f t="shared" si="21"/>
        <v>1860000511</v>
      </c>
    </row>
    <row r="1359" spans="1:7" ht="14" x14ac:dyDescent="0.15">
      <c r="A1359" s="322">
        <v>1860000520</v>
      </c>
      <c r="B1359" s="322" t="s">
        <v>571</v>
      </c>
      <c r="E1359" s="163"/>
      <c r="G1359" t="e">
        <f t="shared" si="21"/>
        <v>#N/A</v>
      </c>
    </row>
    <row r="1360" spans="1:7" ht="14" x14ac:dyDescent="0.15">
      <c r="A1360" s="322">
        <v>1860000522</v>
      </c>
      <c r="B1360" s="322" t="s">
        <v>885</v>
      </c>
      <c r="E1360" s="182"/>
      <c r="G1360" t="e">
        <f t="shared" si="21"/>
        <v>#N/A</v>
      </c>
    </row>
    <row r="1361" spans="1:7" ht="14" x14ac:dyDescent="0.15">
      <c r="A1361" s="322">
        <v>1860000540</v>
      </c>
      <c r="B1361" s="322" t="s">
        <v>209</v>
      </c>
      <c r="E1361">
        <v>1972000750</v>
      </c>
      <c r="G1361">
        <f t="shared" si="21"/>
        <v>1860000540</v>
      </c>
    </row>
    <row r="1362" spans="1:7" ht="14" x14ac:dyDescent="0.15">
      <c r="A1362" s="322">
        <v>1860000581</v>
      </c>
      <c r="B1362" s="322" t="s">
        <v>1919</v>
      </c>
      <c r="E1362">
        <v>1972000770</v>
      </c>
      <c r="G1362">
        <f t="shared" si="21"/>
        <v>1860000581</v>
      </c>
    </row>
    <row r="1363" spans="1:7" ht="14" x14ac:dyDescent="0.15">
      <c r="A1363" s="322">
        <v>1860000780</v>
      </c>
      <c r="B1363" s="322" t="s">
        <v>580</v>
      </c>
      <c r="E1363" s="182"/>
      <c r="G1363">
        <f t="shared" si="21"/>
        <v>1860000780</v>
      </c>
    </row>
    <row r="1364" spans="1:7" ht="14" x14ac:dyDescent="0.15">
      <c r="A1364" s="322">
        <v>1860000910</v>
      </c>
      <c r="B1364" s="322" t="s">
        <v>741</v>
      </c>
      <c r="E1364" s="182">
        <v>1980000310</v>
      </c>
      <c r="G1364">
        <f t="shared" si="21"/>
        <v>1860000910</v>
      </c>
    </row>
    <row r="1365" spans="1:7" ht="14" x14ac:dyDescent="0.15">
      <c r="A1365" s="322">
        <v>1860000930</v>
      </c>
      <c r="B1365" s="322" t="s">
        <v>2171</v>
      </c>
      <c r="E1365" s="182">
        <v>1980000312</v>
      </c>
      <c r="G1365">
        <f t="shared" si="21"/>
        <v>1860000930</v>
      </c>
    </row>
    <row r="1366" spans="1:7" ht="14" x14ac:dyDescent="0.15">
      <c r="A1366" s="322">
        <v>1869000110</v>
      </c>
      <c r="B1366" s="322" t="s">
        <v>538</v>
      </c>
      <c r="E1366" s="182"/>
      <c r="G1366">
        <f t="shared" si="21"/>
        <v>1869000110</v>
      </c>
    </row>
    <row r="1367" spans="1:7" ht="14" x14ac:dyDescent="0.15">
      <c r="A1367" s="322">
        <v>1869000980</v>
      </c>
      <c r="B1367" s="322" t="s">
        <v>886</v>
      </c>
      <c r="E1367" s="182"/>
      <c r="G1367" t="e">
        <f t="shared" si="21"/>
        <v>#N/A</v>
      </c>
    </row>
    <row r="1368" spans="1:7" ht="14" x14ac:dyDescent="0.15">
      <c r="A1368" s="322">
        <v>1879000810</v>
      </c>
      <c r="B1368" s="322" t="s">
        <v>887</v>
      </c>
      <c r="E1368">
        <v>1991000110</v>
      </c>
      <c r="G1368">
        <f t="shared" si="21"/>
        <v>1879000810</v>
      </c>
    </row>
    <row r="1369" spans="1:7" ht="14" x14ac:dyDescent="0.15">
      <c r="A1369" s="322">
        <v>1913000110</v>
      </c>
      <c r="B1369" s="322" t="s">
        <v>523</v>
      </c>
      <c r="E1369">
        <v>1991000310</v>
      </c>
      <c r="G1369">
        <f t="shared" si="21"/>
        <v>1913000110</v>
      </c>
    </row>
    <row r="1370" spans="1:7" ht="14" x14ac:dyDescent="0.15">
      <c r="A1370" s="322">
        <v>1913000750</v>
      </c>
      <c r="B1370" s="322" t="s">
        <v>714</v>
      </c>
      <c r="E1370">
        <v>1991000320</v>
      </c>
      <c r="G1370">
        <f t="shared" si="21"/>
        <v>1913000750</v>
      </c>
    </row>
    <row r="1371" spans="1:7" ht="14" x14ac:dyDescent="0.15">
      <c r="A1371" s="322">
        <v>1931000110</v>
      </c>
      <c r="B1371" s="322" t="s">
        <v>523</v>
      </c>
      <c r="E1371">
        <v>1991000523</v>
      </c>
      <c r="G1371">
        <f t="shared" si="21"/>
        <v>1931000110</v>
      </c>
    </row>
    <row r="1372" spans="1:7" ht="14" x14ac:dyDescent="0.15">
      <c r="A1372" s="322">
        <v>1931000450</v>
      </c>
      <c r="B1372" s="322" t="s">
        <v>888</v>
      </c>
      <c r="E1372">
        <v>1993000980</v>
      </c>
      <c r="G1372" t="e">
        <f t="shared" si="21"/>
        <v>#N/A</v>
      </c>
    </row>
    <row r="1373" spans="1:7" ht="14" x14ac:dyDescent="0.15">
      <c r="A1373" s="322">
        <v>1931000511</v>
      </c>
      <c r="B1373" s="322" t="s">
        <v>889</v>
      </c>
      <c r="E1373">
        <v>1995000860</v>
      </c>
      <c r="G1373">
        <f t="shared" si="21"/>
        <v>1931000511</v>
      </c>
    </row>
    <row r="1374" spans="1:7" ht="14" x14ac:dyDescent="0.15">
      <c r="A1374" s="322">
        <v>1931000560</v>
      </c>
      <c r="B1374" s="322" t="s">
        <v>890</v>
      </c>
      <c r="G1374">
        <f t="shared" si="21"/>
        <v>1931000560</v>
      </c>
    </row>
    <row r="1375" spans="1:7" ht="14" x14ac:dyDescent="0.15">
      <c r="A1375" s="322">
        <v>1931000581</v>
      </c>
      <c r="B1375" s="322" t="s">
        <v>1920</v>
      </c>
      <c r="G1375">
        <f t="shared" si="21"/>
        <v>1931000581</v>
      </c>
    </row>
    <row r="1376" spans="1:7" ht="14" x14ac:dyDescent="0.15">
      <c r="A1376" s="322">
        <v>1931000731</v>
      </c>
      <c r="B1376" s="322" t="s">
        <v>129</v>
      </c>
      <c r="G1376" t="e">
        <f t="shared" si="21"/>
        <v>#N/A</v>
      </c>
    </row>
    <row r="1377" spans="1:7" ht="14" x14ac:dyDescent="0.15">
      <c r="A1377" s="322">
        <v>1931000750</v>
      </c>
      <c r="B1377" s="322" t="s">
        <v>714</v>
      </c>
      <c r="G1377">
        <f t="shared" si="21"/>
        <v>1931000750</v>
      </c>
    </row>
    <row r="1378" spans="1:7" ht="14" x14ac:dyDescent="0.15">
      <c r="A1378" s="322">
        <v>1931000751</v>
      </c>
      <c r="B1378" s="322" t="s">
        <v>1921</v>
      </c>
      <c r="G1378">
        <f t="shared" si="21"/>
        <v>1931000751</v>
      </c>
    </row>
    <row r="1379" spans="1:7" ht="14" x14ac:dyDescent="0.15">
      <c r="A1379" s="322">
        <v>1931000930</v>
      </c>
      <c r="B1379" s="322" t="s">
        <v>1922</v>
      </c>
      <c r="G1379">
        <f t="shared" si="21"/>
        <v>1931000930</v>
      </c>
    </row>
    <row r="1380" spans="1:7" ht="14" x14ac:dyDescent="0.15">
      <c r="A1380" s="322">
        <v>1931000980</v>
      </c>
      <c r="B1380" s="322" t="s">
        <v>580</v>
      </c>
      <c r="G1380">
        <f t="shared" si="21"/>
        <v>1931000980</v>
      </c>
    </row>
    <row r="1381" spans="1:7" ht="14" x14ac:dyDescent="0.15">
      <c r="A1381" s="322">
        <v>1937000110</v>
      </c>
      <c r="B1381" s="322" t="s">
        <v>523</v>
      </c>
      <c r="G1381">
        <f t="shared" si="21"/>
        <v>1937000110</v>
      </c>
    </row>
    <row r="1382" spans="1:7" ht="14" x14ac:dyDescent="0.15">
      <c r="A1382" s="322">
        <v>1937000430</v>
      </c>
      <c r="B1382" s="322" t="s">
        <v>1923</v>
      </c>
      <c r="G1382">
        <f t="shared" si="21"/>
        <v>1937000430</v>
      </c>
    </row>
    <row r="1383" spans="1:7" ht="14" x14ac:dyDescent="0.15">
      <c r="A1383" s="322">
        <v>1937000750</v>
      </c>
      <c r="B1383" s="322" t="s">
        <v>892</v>
      </c>
      <c r="G1383" t="e">
        <f t="shared" si="21"/>
        <v>#N/A</v>
      </c>
    </row>
    <row r="1384" spans="1:7" ht="14" x14ac:dyDescent="0.15">
      <c r="A1384" s="322">
        <v>1937000780</v>
      </c>
      <c r="B1384" s="322" t="s">
        <v>580</v>
      </c>
      <c r="G1384">
        <f t="shared" si="21"/>
        <v>1937000780</v>
      </c>
    </row>
    <row r="1385" spans="1:7" ht="14" x14ac:dyDescent="0.15">
      <c r="A1385" s="322">
        <v>1938000110</v>
      </c>
      <c r="B1385" s="322" t="s">
        <v>523</v>
      </c>
      <c r="G1385">
        <f t="shared" si="21"/>
        <v>1938000110</v>
      </c>
    </row>
    <row r="1386" spans="1:7" ht="14" x14ac:dyDescent="0.15">
      <c r="A1386" s="322">
        <v>1938000422</v>
      </c>
      <c r="B1386" s="322" t="s">
        <v>893</v>
      </c>
      <c r="G1386">
        <f t="shared" si="21"/>
        <v>1938000422</v>
      </c>
    </row>
    <row r="1387" spans="1:7" ht="14" x14ac:dyDescent="0.15">
      <c r="A1387" s="322">
        <v>1938000430</v>
      </c>
      <c r="B1387" s="322" t="s">
        <v>839</v>
      </c>
      <c r="G1387">
        <f t="shared" si="21"/>
        <v>1938000430</v>
      </c>
    </row>
    <row r="1388" spans="1:7" ht="14" x14ac:dyDescent="0.15">
      <c r="A1388" s="322">
        <v>1938000450</v>
      </c>
      <c r="B1388" s="322" t="s">
        <v>894</v>
      </c>
      <c r="G1388">
        <f t="shared" si="21"/>
        <v>1938000450</v>
      </c>
    </row>
    <row r="1389" spans="1:7" ht="14" x14ac:dyDescent="0.15">
      <c r="A1389" s="322">
        <v>1938000511</v>
      </c>
      <c r="B1389" s="322" t="s">
        <v>895</v>
      </c>
      <c r="G1389">
        <f t="shared" si="21"/>
        <v>1938000511</v>
      </c>
    </row>
    <row r="1390" spans="1:7" ht="14" x14ac:dyDescent="0.15">
      <c r="A1390" s="322">
        <v>1938000530</v>
      </c>
      <c r="B1390" s="322" t="s">
        <v>2172</v>
      </c>
      <c r="G1390">
        <f t="shared" si="21"/>
        <v>1938000530</v>
      </c>
    </row>
    <row r="1391" spans="1:7" ht="14" x14ac:dyDescent="0.15">
      <c r="A1391" s="322">
        <v>1938000540</v>
      </c>
      <c r="B1391" s="322" t="s">
        <v>875</v>
      </c>
      <c r="G1391">
        <f t="shared" si="21"/>
        <v>1938000540</v>
      </c>
    </row>
    <row r="1392" spans="1:7" ht="14" x14ac:dyDescent="0.15">
      <c r="A1392" s="322">
        <v>1938000560</v>
      </c>
      <c r="B1392" s="322" t="s">
        <v>664</v>
      </c>
      <c r="G1392">
        <f t="shared" si="21"/>
        <v>1938000560</v>
      </c>
    </row>
    <row r="1393" spans="1:7" ht="14" x14ac:dyDescent="0.15">
      <c r="A1393" s="322">
        <v>1938000570</v>
      </c>
      <c r="B1393" s="322" t="s">
        <v>896</v>
      </c>
      <c r="G1393">
        <f t="shared" si="21"/>
        <v>1938000570</v>
      </c>
    </row>
    <row r="1394" spans="1:7" ht="14" x14ac:dyDescent="0.15">
      <c r="A1394" s="322">
        <v>1938000571</v>
      </c>
      <c r="B1394" s="322" t="s">
        <v>897</v>
      </c>
      <c r="G1394">
        <f t="shared" si="21"/>
        <v>1938000571</v>
      </c>
    </row>
    <row r="1395" spans="1:7" ht="14" x14ac:dyDescent="0.15">
      <c r="A1395" s="322">
        <v>1938000581</v>
      </c>
      <c r="B1395" s="322" t="s">
        <v>1924</v>
      </c>
      <c r="G1395">
        <f t="shared" si="21"/>
        <v>1938000581</v>
      </c>
    </row>
    <row r="1396" spans="1:7" ht="14" x14ac:dyDescent="0.15">
      <c r="A1396" s="322">
        <v>1938000731</v>
      </c>
      <c r="B1396" s="322" t="s">
        <v>217</v>
      </c>
      <c r="G1396" t="e">
        <f t="shared" si="21"/>
        <v>#N/A</v>
      </c>
    </row>
    <row r="1397" spans="1:7" ht="14" x14ac:dyDescent="0.15">
      <c r="A1397" s="322">
        <v>1938000740</v>
      </c>
      <c r="B1397" s="322" t="s">
        <v>737</v>
      </c>
      <c r="G1397">
        <f t="shared" si="21"/>
        <v>1938000740</v>
      </c>
    </row>
    <row r="1398" spans="1:7" ht="14" x14ac:dyDescent="0.15">
      <c r="A1398" s="322">
        <v>1938000750</v>
      </c>
      <c r="B1398" s="322" t="s">
        <v>899</v>
      </c>
      <c r="G1398">
        <f t="shared" si="21"/>
        <v>1938000750</v>
      </c>
    </row>
    <row r="1399" spans="1:7" ht="14" x14ac:dyDescent="0.15">
      <c r="A1399" s="322">
        <v>1938000751</v>
      </c>
      <c r="B1399" s="322" t="s">
        <v>714</v>
      </c>
      <c r="G1399">
        <f t="shared" si="21"/>
        <v>1938000751</v>
      </c>
    </row>
    <row r="1400" spans="1:7" ht="14" x14ac:dyDescent="0.15">
      <c r="A1400" s="322">
        <v>1938000752</v>
      </c>
      <c r="B1400" s="322" t="s">
        <v>1629</v>
      </c>
      <c r="G1400">
        <f t="shared" si="21"/>
        <v>1938000752</v>
      </c>
    </row>
    <row r="1401" spans="1:7" ht="14" x14ac:dyDescent="0.15">
      <c r="A1401" s="322">
        <v>1938000760</v>
      </c>
      <c r="B1401" s="322" t="s">
        <v>900</v>
      </c>
      <c r="G1401">
        <f t="shared" si="21"/>
        <v>1938000760</v>
      </c>
    </row>
    <row r="1402" spans="1:7" ht="14" x14ac:dyDescent="0.15">
      <c r="A1402" s="322">
        <v>1938000780</v>
      </c>
      <c r="B1402" s="322" t="s">
        <v>580</v>
      </c>
      <c r="G1402">
        <f t="shared" si="21"/>
        <v>1938000780</v>
      </c>
    </row>
    <row r="1403" spans="1:7" ht="14" x14ac:dyDescent="0.15">
      <c r="A1403" s="322">
        <v>1938000910</v>
      </c>
      <c r="B1403" s="322" t="s">
        <v>901</v>
      </c>
      <c r="G1403" t="e">
        <f t="shared" si="21"/>
        <v>#N/A</v>
      </c>
    </row>
    <row r="1404" spans="1:7" ht="14" x14ac:dyDescent="0.15">
      <c r="A1404" s="322">
        <v>1938000930</v>
      </c>
      <c r="B1404" s="322" t="s">
        <v>2173</v>
      </c>
      <c r="G1404">
        <f t="shared" si="21"/>
        <v>1938000930</v>
      </c>
    </row>
    <row r="1405" spans="1:7" ht="14" x14ac:dyDescent="0.15">
      <c r="A1405" s="322">
        <v>1938000980</v>
      </c>
      <c r="B1405" s="322" t="s">
        <v>580</v>
      </c>
      <c r="G1405">
        <f t="shared" si="21"/>
        <v>1938000980</v>
      </c>
    </row>
    <row r="1406" spans="1:7" ht="14" x14ac:dyDescent="0.15">
      <c r="A1406" s="322">
        <v>1938000981</v>
      </c>
      <c r="B1406" s="322" t="s">
        <v>74</v>
      </c>
      <c r="G1406" t="e">
        <f t="shared" si="21"/>
        <v>#N/A</v>
      </c>
    </row>
    <row r="1407" spans="1:7" ht="14" x14ac:dyDescent="0.15">
      <c r="A1407" s="322">
        <v>1938001731</v>
      </c>
      <c r="B1407" s="322" t="s">
        <v>1925</v>
      </c>
      <c r="G1407">
        <f t="shared" si="21"/>
        <v>1938001731</v>
      </c>
    </row>
    <row r="1408" spans="1:7" ht="14" x14ac:dyDescent="0.15">
      <c r="A1408" s="322">
        <v>1938010110</v>
      </c>
      <c r="B1408" s="322" t="s">
        <v>1476</v>
      </c>
      <c r="G1408" t="e">
        <f t="shared" si="21"/>
        <v>#N/A</v>
      </c>
    </row>
    <row r="1409" spans="1:7" ht="14" x14ac:dyDescent="0.15">
      <c r="A1409" s="322">
        <v>1938100110</v>
      </c>
      <c r="B1409" s="322" t="s">
        <v>523</v>
      </c>
      <c r="G1409">
        <f t="shared" si="21"/>
        <v>1938100110</v>
      </c>
    </row>
    <row r="1410" spans="1:7" ht="14" x14ac:dyDescent="0.15">
      <c r="A1410" s="322">
        <v>1938100560</v>
      </c>
      <c r="B1410" s="322" t="s">
        <v>820</v>
      </c>
      <c r="G1410" t="e">
        <f t="shared" si="21"/>
        <v>#N/A</v>
      </c>
    </row>
    <row r="1411" spans="1:7" ht="14" x14ac:dyDescent="0.15">
      <c r="A1411" s="322">
        <v>1938100780</v>
      </c>
      <c r="B1411" s="322" t="s">
        <v>580</v>
      </c>
      <c r="G1411">
        <f t="shared" ref="G1411:G1470" si="22">VLOOKUP(A1411,$E$2:$E$1373,1,FALSE)</f>
        <v>1938100780</v>
      </c>
    </row>
    <row r="1412" spans="1:7" ht="14" x14ac:dyDescent="0.15">
      <c r="A1412" s="322">
        <v>1938200110</v>
      </c>
      <c r="B1412" s="322" t="s">
        <v>2174</v>
      </c>
      <c r="G1412">
        <f t="shared" si="22"/>
        <v>1938200110</v>
      </c>
    </row>
    <row r="1413" spans="1:7" ht="14" x14ac:dyDescent="0.15">
      <c r="A1413" s="322">
        <v>1938200511</v>
      </c>
      <c r="B1413" s="322" t="s">
        <v>2040</v>
      </c>
      <c r="G1413">
        <f t="shared" si="22"/>
        <v>1938200511</v>
      </c>
    </row>
    <row r="1414" spans="1:7" ht="14" x14ac:dyDescent="0.15">
      <c r="A1414" s="322">
        <v>1938200521</v>
      </c>
      <c r="B1414" s="322" t="s">
        <v>2175</v>
      </c>
      <c r="G1414">
        <f t="shared" si="22"/>
        <v>1938200521</v>
      </c>
    </row>
    <row r="1415" spans="1:7" ht="14" x14ac:dyDescent="0.15">
      <c r="A1415" s="322">
        <v>1938200560</v>
      </c>
      <c r="B1415" s="322" t="s">
        <v>2041</v>
      </c>
      <c r="G1415">
        <f t="shared" si="22"/>
        <v>1938200560</v>
      </c>
    </row>
    <row r="1416" spans="1:7" ht="14" x14ac:dyDescent="0.15">
      <c r="A1416" s="322">
        <v>1938200570</v>
      </c>
      <c r="B1416" s="322" t="s">
        <v>2042</v>
      </c>
      <c r="G1416">
        <f t="shared" si="22"/>
        <v>1938200570</v>
      </c>
    </row>
    <row r="1417" spans="1:7" ht="14" x14ac:dyDescent="0.15">
      <c r="A1417" s="322">
        <v>1938200581</v>
      </c>
      <c r="B1417" s="322" t="s">
        <v>2043</v>
      </c>
      <c r="G1417">
        <f t="shared" si="22"/>
        <v>1938200581</v>
      </c>
    </row>
    <row r="1418" spans="1:7" ht="14" x14ac:dyDescent="0.15">
      <c r="A1418" s="322">
        <v>1938200780</v>
      </c>
      <c r="B1418" s="322" t="s">
        <v>2044</v>
      </c>
      <c r="G1418">
        <f t="shared" si="22"/>
        <v>1938200780</v>
      </c>
    </row>
    <row r="1419" spans="1:7" ht="14" x14ac:dyDescent="0.15">
      <c r="A1419" s="322">
        <v>1938200930</v>
      </c>
      <c r="B1419" s="322" t="s">
        <v>2045</v>
      </c>
      <c r="G1419">
        <f t="shared" si="22"/>
        <v>1938200930</v>
      </c>
    </row>
    <row r="1420" spans="1:7" ht="14" x14ac:dyDescent="0.15">
      <c r="A1420" s="322">
        <v>1939000110</v>
      </c>
      <c r="B1420" s="322" t="s">
        <v>523</v>
      </c>
      <c r="G1420">
        <f t="shared" si="22"/>
        <v>1939000110</v>
      </c>
    </row>
    <row r="1421" spans="1:7" ht="14" x14ac:dyDescent="0.15">
      <c r="A1421" s="322">
        <v>1939000210</v>
      </c>
      <c r="B1421" s="322" t="s">
        <v>1475</v>
      </c>
      <c r="G1421" t="e">
        <f t="shared" si="22"/>
        <v>#N/A</v>
      </c>
    </row>
    <row r="1422" spans="1:7" ht="14" x14ac:dyDescent="0.15">
      <c r="A1422" s="322">
        <v>1939000410</v>
      </c>
      <c r="B1422" s="322" t="s">
        <v>902</v>
      </c>
      <c r="G1422">
        <f t="shared" si="22"/>
        <v>1939000410</v>
      </c>
    </row>
    <row r="1423" spans="1:7" ht="14" x14ac:dyDescent="0.15">
      <c r="A1423" s="322">
        <v>1939000430</v>
      </c>
      <c r="B1423" s="322" t="s">
        <v>2176</v>
      </c>
      <c r="G1423">
        <f t="shared" si="22"/>
        <v>1939000430</v>
      </c>
    </row>
    <row r="1424" spans="1:7" ht="14" x14ac:dyDescent="0.15">
      <c r="A1424" s="322">
        <v>1939000511</v>
      </c>
      <c r="B1424" s="322" t="s">
        <v>220</v>
      </c>
      <c r="G1424">
        <f t="shared" si="22"/>
        <v>1939000511</v>
      </c>
    </row>
    <row r="1425" spans="1:7" ht="14" x14ac:dyDescent="0.15">
      <c r="A1425" s="322">
        <v>1939000560</v>
      </c>
      <c r="B1425" s="322" t="s">
        <v>820</v>
      </c>
      <c r="G1425">
        <f t="shared" si="22"/>
        <v>1939000560</v>
      </c>
    </row>
    <row r="1426" spans="1:7" ht="14" x14ac:dyDescent="0.15">
      <c r="A1426" s="322">
        <v>1939000570</v>
      </c>
      <c r="B1426" s="322" t="s">
        <v>1666</v>
      </c>
      <c r="G1426">
        <f t="shared" si="22"/>
        <v>1939000570</v>
      </c>
    </row>
    <row r="1427" spans="1:7" ht="14" x14ac:dyDescent="0.15">
      <c r="A1427" s="322">
        <v>1939000581</v>
      </c>
      <c r="B1427" s="322" t="s">
        <v>1926</v>
      </c>
      <c r="G1427">
        <f t="shared" si="22"/>
        <v>1939000581</v>
      </c>
    </row>
    <row r="1428" spans="1:7" ht="14" x14ac:dyDescent="0.15">
      <c r="A1428" s="322">
        <v>1939000730</v>
      </c>
      <c r="B1428" s="322" t="s">
        <v>903</v>
      </c>
      <c r="G1428">
        <f t="shared" si="22"/>
        <v>1939000730</v>
      </c>
    </row>
    <row r="1429" spans="1:7" ht="14" x14ac:dyDescent="0.15">
      <c r="A1429" s="322">
        <v>1939000731</v>
      </c>
      <c r="B1429" s="322" t="s">
        <v>221</v>
      </c>
      <c r="G1429">
        <f t="shared" si="22"/>
        <v>1939000731</v>
      </c>
    </row>
    <row r="1430" spans="1:7" ht="14" x14ac:dyDescent="0.15">
      <c r="A1430" s="322">
        <v>1939000750</v>
      </c>
      <c r="B1430" s="322" t="s">
        <v>1551</v>
      </c>
      <c r="G1430">
        <f t="shared" si="22"/>
        <v>1939000750</v>
      </c>
    </row>
    <row r="1431" spans="1:7" ht="14" x14ac:dyDescent="0.15">
      <c r="A1431" s="322">
        <v>1939000751</v>
      </c>
      <c r="B1431" s="322" t="s">
        <v>714</v>
      </c>
      <c r="G1431">
        <f t="shared" si="22"/>
        <v>1939000751</v>
      </c>
    </row>
    <row r="1432" spans="1:7" ht="14" x14ac:dyDescent="0.15">
      <c r="A1432" s="322">
        <v>1939000780</v>
      </c>
      <c r="B1432" s="322" t="s">
        <v>580</v>
      </c>
      <c r="G1432">
        <f t="shared" si="22"/>
        <v>1939000780</v>
      </c>
    </row>
    <row r="1433" spans="1:7" ht="14" x14ac:dyDescent="0.15">
      <c r="A1433" s="322">
        <v>1939000910</v>
      </c>
      <c r="B1433" s="322" t="s">
        <v>1630</v>
      </c>
      <c r="G1433">
        <f t="shared" si="22"/>
        <v>1939000910</v>
      </c>
    </row>
    <row r="1434" spans="1:7" ht="14" x14ac:dyDescent="0.15">
      <c r="A1434" s="322">
        <v>1939000980</v>
      </c>
      <c r="B1434" s="322" t="s">
        <v>580</v>
      </c>
      <c r="G1434">
        <f t="shared" si="22"/>
        <v>1939000980</v>
      </c>
    </row>
    <row r="1435" spans="1:7" ht="14" x14ac:dyDescent="0.15">
      <c r="A1435" s="322">
        <v>1939000981</v>
      </c>
      <c r="B1435" s="322" t="s">
        <v>74</v>
      </c>
      <c r="G1435" t="e">
        <f t="shared" si="22"/>
        <v>#N/A</v>
      </c>
    </row>
    <row r="1436" spans="1:7" ht="14" x14ac:dyDescent="0.15">
      <c r="A1436" s="322">
        <v>1939001731</v>
      </c>
      <c r="B1436" s="322" t="s">
        <v>221</v>
      </c>
      <c r="G1436" t="e">
        <f t="shared" si="22"/>
        <v>#N/A</v>
      </c>
    </row>
    <row r="1437" spans="1:7" ht="14" x14ac:dyDescent="0.15">
      <c r="A1437" s="322">
        <v>1939002530</v>
      </c>
      <c r="B1437" s="322" t="s">
        <v>1631</v>
      </c>
      <c r="G1437">
        <f t="shared" si="22"/>
        <v>1939002530</v>
      </c>
    </row>
    <row r="1438" spans="1:7" ht="14" x14ac:dyDescent="0.15">
      <c r="A1438" s="322">
        <v>1939002731</v>
      </c>
      <c r="B1438" s="322" t="s">
        <v>1473</v>
      </c>
      <c r="G1438" t="e">
        <f t="shared" si="22"/>
        <v>#N/A</v>
      </c>
    </row>
    <row r="1439" spans="1:7" ht="14" x14ac:dyDescent="0.15">
      <c r="A1439" s="322">
        <v>1939003530</v>
      </c>
      <c r="B1439" s="322" t="s">
        <v>1632</v>
      </c>
      <c r="G1439">
        <f t="shared" si="22"/>
        <v>1939003530</v>
      </c>
    </row>
    <row r="1440" spans="1:7" ht="14" x14ac:dyDescent="0.15">
      <c r="A1440" s="322">
        <v>1939003731</v>
      </c>
      <c r="B1440" s="322" t="s">
        <v>2177</v>
      </c>
      <c r="G1440">
        <f t="shared" si="22"/>
        <v>1939003731</v>
      </c>
    </row>
    <row r="1441" spans="1:7" ht="14" x14ac:dyDescent="0.15">
      <c r="A1441" s="322">
        <v>1939004731</v>
      </c>
      <c r="B1441" s="322" t="s">
        <v>906</v>
      </c>
      <c r="G1441">
        <f t="shared" si="22"/>
        <v>1939004731</v>
      </c>
    </row>
    <row r="1442" spans="1:7" ht="14" x14ac:dyDescent="0.15">
      <c r="A1442" s="322">
        <v>1939006731</v>
      </c>
      <c r="B1442" s="322" t="s">
        <v>907</v>
      </c>
      <c r="G1442">
        <f t="shared" si="22"/>
        <v>1939006731</v>
      </c>
    </row>
    <row r="1443" spans="1:7" ht="14" x14ac:dyDescent="0.15">
      <c r="A1443" s="322">
        <v>1939009731</v>
      </c>
      <c r="B1443" s="322" t="s">
        <v>131</v>
      </c>
      <c r="G1443" t="e">
        <f t="shared" si="22"/>
        <v>#N/A</v>
      </c>
    </row>
    <row r="1444" spans="1:7" ht="14" x14ac:dyDescent="0.15">
      <c r="A1444" s="322">
        <v>1939011731</v>
      </c>
      <c r="B1444" s="322" t="s">
        <v>908</v>
      </c>
      <c r="G1444">
        <f t="shared" si="22"/>
        <v>1939011731</v>
      </c>
    </row>
    <row r="1445" spans="1:7" ht="14" x14ac:dyDescent="0.15">
      <c r="A1445" s="322">
        <v>1939012731</v>
      </c>
      <c r="B1445" s="322" t="s">
        <v>909</v>
      </c>
      <c r="G1445">
        <f t="shared" si="22"/>
        <v>1939012731</v>
      </c>
    </row>
    <row r="1446" spans="1:7" ht="14" x14ac:dyDescent="0.15">
      <c r="A1446" s="322">
        <v>1939013731</v>
      </c>
      <c r="B1446" s="322" t="s">
        <v>910</v>
      </c>
      <c r="G1446">
        <f t="shared" si="22"/>
        <v>1939013731</v>
      </c>
    </row>
    <row r="1447" spans="1:7" ht="14" x14ac:dyDescent="0.15">
      <c r="A1447" s="322">
        <v>1939014530</v>
      </c>
      <c r="B1447" s="322" t="s">
        <v>1471</v>
      </c>
      <c r="G1447">
        <f t="shared" si="22"/>
        <v>1939014530</v>
      </c>
    </row>
    <row r="1448" spans="1:7" ht="14" x14ac:dyDescent="0.15">
      <c r="A1448" s="322">
        <v>1939014731</v>
      </c>
      <c r="B1448" s="322" t="s">
        <v>1471</v>
      </c>
      <c r="G1448" t="e">
        <f t="shared" si="22"/>
        <v>#N/A</v>
      </c>
    </row>
    <row r="1449" spans="1:7" ht="14" x14ac:dyDescent="0.15">
      <c r="A1449" s="322">
        <v>1939015731</v>
      </c>
      <c r="B1449" s="322" t="s">
        <v>1470</v>
      </c>
      <c r="G1449">
        <f t="shared" si="22"/>
        <v>1939015731</v>
      </c>
    </row>
    <row r="1450" spans="1:7" ht="14" x14ac:dyDescent="0.15">
      <c r="A1450" s="322">
        <v>1939016731</v>
      </c>
      <c r="B1450" s="322" t="s">
        <v>1928</v>
      </c>
      <c r="G1450">
        <f t="shared" si="22"/>
        <v>1939016731</v>
      </c>
    </row>
    <row r="1451" spans="1:7" ht="14" x14ac:dyDescent="0.15">
      <c r="A1451" s="322">
        <v>1939019731</v>
      </c>
      <c r="B1451" s="322" t="s">
        <v>2178</v>
      </c>
      <c r="G1451">
        <f t="shared" si="22"/>
        <v>1939019731</v>
      </c>
    </row>
    <row r="1452" spans="1:7" ht="14" x14ac:dyDescent="0.15">
      <c r="A1452" s="322">
        <v>1939033731</v>
      </c>
      <c r="B1452" s="322" t="s">
        <v>1469</v>
      </c>
      <c r="G1452">
        <f t="shared" si="22"/>
        <v>1939033731</v>
      </c>
    </row>
    <row r="1453" spans="1:7" ht="14" x14ac:dyDescent="0.15">
      <c r="A1453" s="322">
        <v>1939043731</v>
      </c>
      <c r="B1453" s="322" t="s">
        <v>2179</v>
      </c>
      <c r="G1453">
        <f t="shared" si="22"/>
        <v>1939043731</v>
      </c>
    </row>
    <row r="1454" spans="1:7" ht="14" x14ac:dyDescent="0.15">
      <c r="A1454" s="322">
        <v>1939100530</v>
      </c>
      <c r="B1454" s="322" t="s">
        <v>1467</v>
      </c>
      <c r="G1454" t="e">
        <f t="shared" si="22"/>
        <v>#N/A</v>
      </c>
    </row>
    <row r="1455" spans="1:7" ht="14" x14ac:dyDescent="0.15">
      <c r="A1455" s="322">
        <v>1939100730</v>
      </c>
      <c r="B1455" s="322" t="s">
        <v>1466</v>
      </c>
      <c r="G1455">
        <f t="shared" si="22"/>
        <v>1939100730</v>
      </c>
    </row>
    <row r="1456" spans="1:7" ht="14" x14ac:dyDescent="0.15">
      <c r="A1456" s="322">
        <v>1939111731</v>
      </c>
      <c r="B1456" s="322" t="s">
        <v>225</v>
      </c>
      <c r="G1456" t="e">
        <f t="shared" si="22"/>
        <v>#N/A</v>
      </c>
    </row>
    <row r="1457" spans="1:7" ht="14" x14ac:dyDescent="0.15">
      <c r="A1457" s="322">
        <v>1939200731</v>
      </c>
      <c r="B1457" s="322" t="s">
        <v>1331</v>
      </c>
      <c r="G1457">
        <f t="shared" si="22"/>
        <v>1939200731</v>
      </c>
    </row>
    <row r="1458" spans="1:7" ht="14" x14ac:dyDescent="0.15">
      <c r="A1458" s="322">
        <v>1939300731</v>
      </c>
      <c r="B1458" s="322" t="s">
        <v>1648</v>
      </c>
      <c r="G1458">
        <f t="shared" si="22"/>
        <v>1939300731</v>
      </c>
    </row>
    <row r="1459" spans="1:7" ht="14" x14ac:dyDescent="0.15">
      <c r="A1459" s="322">
        <v>1972000110</v>
      </c>
      <c r="B1459" s="322" t="s">
        <v>523</v>
      </c>
      <c r="G1459" t="e">
        <f t="shared" si="22"/>
        <v>#N/A</v>
      </c>
    </row>
    <row r="1460" spans="1:7" ht="14" x14ac:dyDescent="0.15">
      <c r="A1460" s="322">
        <v>1972000750</v>
      </c>
      <c r="B1460" s="322" t="s">
        <v>912</v>
      </c>
      <c r="G1460">
        <f t="shared" si="22"/>
        <v>1972000750</v>
      </c>
    </row>
    <row r="1461" spans="1:7" ht="14" x14ac:dyDescent="0.15">
      <c r="A1461" s="322">
        <v>1972000770</v>
      </c>
      <c r="B1461" s="322" t="s">
        <v>740</v>
      </c>
      <c r="G1461">
        <f t="shared" si="22"/>
        <v>1972000770</v>
      </c>
    </row>
    <row r="1462" spans="1:7" ht="14" x14ac:dyDescent="0.15">
      <c r="A1462" s="322">
        <v>1972000780</v>
      </c>
      <c r="B1462" s="322" t="s">
        <v>913</v>
      </c>
      <c r="G1462" t="e">
        <f t="shared" si="22"/>
        <v>#N/A</v>
      </c>
    </row>
    <row r="1463" spans="1:7" ht="14" x14ac:dyDescent="0.15">
      <c r="A1463" s="322">
        <v>1980000310</v>
      </c>
      <c r="B1463" s="322" t="s">
        <v>539</v>
      </c>
      <c r="G1463">
        <f t="shared" si="22"/>
        <v>1980000310</v>
      </c>
    </row>
    <row r="1464" spans="1:7" ht="14" x14ac:dyDescent="0.15">
      <c r="A1464" s="322">
        <v>1980000312</v>
      </c>
      <c r="B1464" s="322" t="s">
        <v>540</v>
      </c>
      <c r="G1464">
        <f t="shared" si="22"/>
        <v>1980000312</v>
      </c>
    </row>
    <row r="1465" spans="1:7" ht="14" x14ac:dyDescent="0.15">
      <c r="A1465" s="322">
        <v>1991000110</v>
      </c>
      <c r="B1465" s="322" t="s">
        <v>1267</v>
      </c>
      <c r="G1465">
        <f t="shared" si="22"/>
        <v>1991000110</v>
      </c>
    </row>
    <row r="1466" spans="1:7" ht="14" x14ac:dyDescent="0.15">
      <c r="A1466" s="322">
        <v>1991000310</v>
      </c>
      <c r="B1466" s="322" t="s">
        <v>539</v>
      </c>
      <c r="G1466">
        <f t="shared" si="22"/>
        <v>1991000310</v>
      </c>
    </row>
    <row r="1467" spans="1:7" ht="14" x14ac:dyDescent="0.15">
      <c r="A1467" s="322">
        <v>1991000320</v>
      </c>
      <c r="B1467" s="322" t="s">
        <v>541</v>
      </c>
      <c r="G1467">
        <f t="shared" si="22"/>
        <v>1991000320</v>
      </c>
    </row>
    <row r="1468" spans="1:7" ht="14" x14ac:dyDescent="0.15">
      <c r="A1468" s="322">
        <v>1991000523</v>
      </c>
      <c r="B1468" s="322" t="s">
        <v>1075</v>
      </c>
      <c r="G1468">
        <f t="shared" si="22"/>
        <v>1991000523</v>
      </c>
    </row>
    <row r="1469" spans="1:7" ht="14" x14ac:dyDescent="0.15">
      <c r="A1469" s="322">
        <v>1993000980</v>
      </c>
      <c r="B1469" s="322" t="s">
        <v>1076</v>
      </c>
      <c r="G1469">
        <f t="shared" si="22"/>
        <v>1993000980</v>
      </c>
    </row>
    <row r="1470" spans="1:7" ht="14" x14ac:dyDescent="0.15">
      <c r="A1470" s="322">
        <v>1995000860</v>
      </c>
      <c r="B1470" s="322" t="s">
        <v>1078</v>
      </c>
      <c r="G1470">
        <f t="shared" si="22"/>
        <v>1995000860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B1:I53"/>
  <sheetViews>
    <sheetView rightToLeft="1" view="pageBreakPreview" zoomScaleSheetLayoutView="100" workbookViewId="0">
      <selection activeCell="A4" sqref="A4"/>
    </sheetView>
  </sheetViews>
  <sheetFormatPr baseColWidth="10" defaultColWidth="8.83203125" defaultRowHeight="13" x14ac:dyDescent="0.15"/>
  <cols>
    <col min="3" max="3" width="26.83203125" bestFit="1" customWidth="1"/>
    <col min="4" max="4" width="9.5" style="163" bestFit="1" customWidth="1"/>
    <col min="5" max="5" width="2" style="95" customWidth="1"/>
    <col min="7" max="7" width="2" style="95" customWidth="1"/>
    <col min="8" max="8" width="7.6640625" customWidth="1"/>
    <col min="9" max="9" width="3.1640625" customWidth="1"/>
  </cols>
  <sheetData>
    <row r="1" spans="2:9" ht="18" x14ac:dyDescent="0.2">
      <c r="C1" s="349" t="s">
        <v>1273</v>
      </c>
      <c r="D1" s="349"/>
      <c r="E1" s="349"/>
      <c r="F1" s="349"/>
      <c r="G1" s="349"/>
      <c r="H1" s="349"/>
      <c r="I1" s="147"/>
    </row>
    <row r="2" spans="2:9" ht="18" x14ac:dyDescent="0.2">
      <c r="C2" s="349" t="s">
        <v>2180</v>
      </c>
      <c r="D2" s="349"/>
      <c r="E2" s="349"/>
      <c r="F2" s="349"/>
      <c r="G2" s="349"/>
      <c r="H2" s="349"/>
      <c r="I2" s="147"/>
    </row>
    <row r="3" spans="2:9" ht="14" thickBot="1" x14ac:dyDescent="0.2">
      <c r="C3" s="363" t="s">
        <v>2193</v>
      </c>
      <c r="D3" s="363"/>
      <c r="E3" s="363"/>
      <c r="F3" s="363"/>
      <c r="G3" s="363"/>
      <c r="H3" s="363"/>
    </row>
    <row r="4" spans="2:9" ht="15" thickBot="1" x14ac:dyDescent="0.2">
      <c r="B4" s="363" t="s">
        <v>2194</v>
      </c>
      <c r="C4" s="2"/>
      <c r="D4" s="261" t="s">
        <v>2067</v>
      </c>
      <c r="E4" s="12"/>
      <c r="F4" s="246" t="s">
        <v>1698</v>
      </c>
      <c r="G4" s="8"/>
      <c r="H4" s="230" t="s">
        <v>2068</v>
      </c>
      <c r="I4" s="364" t="s">
        <v>2195</v>
      </c>
    </row>
    <row r="5" spans="2:9" ht="22" thickBot="1" x14ac:dyDescent="0.3">
      <c r="B5" s="363"/>
      <c r="C5" s="4" t="s">
        <v>1081</v>
      </c>
      <c r="D5" s="262"/>
      <c r="E5" s="8"/>
      <c r="F5" s="247"/>
      <c r="G5" s="8"/>
      <c r="H5" s="231"/>
      <c r="I5" s="364"/>
    </row>
    <row r="6" spans="2:9" x14ac:dyDescent="0.15">
      <c r="B6" s="363"/>
      <c r="C6" s="5" t="s">
        <v>273</v>
      </c>
      <c r="D6" s="263">
        <v>142493.777</v>
      </c>
      <c r="E6" s="8"/>
      <c r="F6" s="248">
        <v>131150.035</v>
      </c>
      <c r="G6" s="8"/>
      <c r="H6" s="232">
        <v>127033.62822</v>
      </c>
      <c r="I6" s="364"/>
    </row>
    <row r="7" spans="2:9" x14ac:dyDescent="0.15">
      <c r="B7" s="363"/>
      <c r="C7" s="6" t="s">
        <v>279</v>
      </c>
      <c r="D7" s="263">
        <v>352.10500000000002</v>
      </c>
      <c r="E7" s="8"/>
      <c r="F7" s="248">
        <v>418.5</v>
      </c>
      <c r="G7" s="8"/>
      <c r="H7" s="232">
        <v>561.9316</v>
      </c>
      <c r="I7" s="364"/>
    </row>
    <row r="8" spans="2:9" x14ac:dyDescent="0.15">
      <c r="B8" s="363"/>
      <c r="C8" s="6" t="s">
        <v>283</v>
      </c>
      <c r="D8" s="263">
        <v>43824.76</v>
      </c>
      <c r="E8" s="8"/>
      <c r="F8" s="248">
        <v>42855.94</v>
      </c>
      <c r="G8" s="8"/>
      <c r="H8" s="232">
        <v>42192.398000000001</v>
      </c>
      <c r="I8" s="364"/>
    </row>
    <row r="9" spans="2:9" x14ac:dyDescent="0.15">
      <c r="B9" s="363"/>
      <c r="C9" s="6" t="s">
        <v>296</v>
      </c>
      <c r="D9" s="263">
        <v>771.5</v>
      </c>
      <c r="E9" s="8"/>
      <c r="F9" s="248">
        <v>900</v>
      </c>
      <c r="G9" s="8"/>
      <c r="H9" s="232">
        <v>865.38678000000004</v>
      </c>
      <c r="I9" s="364"/>
    </row>
    <row r="10" spans="2:9" x14ac:dyDescent="0.15">
      <c r="B10" s="363"/>
      <c r="C10" s="6" t="s">
        <v>1083</v>
      </c>
      <c r="D10" s="263">
        <v>49900.699000000001</v>
      </c>
      <c r="E10" s="8"/>
      <c r="F10" s="248">
        <v>57121.078460000004</v>
      </c>
      <c r="G10" s="8"/>
      <c r="H10" s="232">
        <v>33264.202040000004</v>
      </c>
      <c r="I10" s="364"/>
    </row>
    <row r="11" spans="2:9" ht="15" x14ac:dyDescent="0.2">
      <c r="B11" s="363"/>
      <c r="C11" s="7" t="s">
        <v>1084</v>
      </c>
      <c r="D11" s="264">
        <v>237342.84100000001</v>
      </c>
      <c r="E11" s="8"/>
      <c r="F11" s="249">
        <v>232445.55346000002</v>
      </c>
      <c r="G11" s="154">
        <v>0</v>
      </c>
      <c r="H11" s="233">
        <v>203917.54664000002</v>
      </c>
      <c r="I11" s="364"/>
    </row>
    <row r="12" spans="2:9" x14ac:dyDescent="0.15">
      <c r="B12" s="363"/>
      <c r="C12" s="6" t="s">
        <v>361</v>
      </c>
      <c r="D12" s="265">
        <v>60974.716999999997</v>
      </c>
      <c r="E12" s="8"/>
      <c r="F12" s="248">
        <v>58853.686000000002</v>
      </c>
      <c r="G12" s="8"/>
      <c r="H12" s="234">
        <v>59684.610489999992</v>
      </c>
      <c r="I12" s="364"/>
    </row>
    <row r="13" spans="2:9" x14ac:dyDescent="0.15">
      <c r="B13" s="363"/>
      <c r="C13" s="6" t="s">
        <v>1085</v>
      </c>
      <c r="D13" s="263">
        <v>47874.502999999997</v>
      </c>
      <c r="E13" s="8"/>
      <c r="F13" s="248">
        <v>44485.991109999995</v>
      </c>
      <c r="G13" s="8"/>
      <c r="H13" s="232">
        <v>42994.622510000001</v>
      </c>
      <c r="I13" s="364"/>
    </row>
    <row r="14" spans="2:9" x14ac:dyDescent="0.15">
      <c r="B14" s="363"/>
      <c r="C14" s="6" t="s">
        <v>490</v>
      </c>
      <c r="D14" s="263">
        <v>3655</v>
      </c>
      <c r="E14" s="8"/>
      <c r="F14" s="248">
        <v>3839.8670000000002</v>
      </c>
      <c r="G14" s="8"/>
      <c r="H14" s="232">
        <v>9584.884</v>
      </c>
      <c r="I14" s="364"/>
    </row>
    <row r="15" spans="2:9" x14ac:dyDescent="0.15">
      <c r="B15" s="363"/>
      <c r="C15" s="6" t="s">
        <v>499</v>
      </c>
      <c r="D15" s="263">
        <v>50210</v>
      </c>
      <c r="E15" s="8"/>
      <c r="F15" s="248">
        <v>50210</v>
      </c>
      <c r="G15" s="8"/>
      <c r="H15" s="232">
        <v>50629.535000000003</v>
      </c>
      <c r="I15" s="364"/>
    </row>
    <row r="16" spans="2:9" x14ac:dyDescent="0.15">
      <c r="B16" s="363"/>
      <c r="C16" s="6" t="s">
        <v>1086</v>
      </c>
      <c r="D16" s="263">
        <v>7846</v>
      </c>
      <c r="E16" s="8"/>
      <c r="F16" s="250">
        <v>5827.8879999999999</v>
      </c>
      <c r="G16" s="8"/>
      <c r="H16" s="232">
        <v>7902.2370000000001</v>
      </c>
      <c r="I16" s="364"/>
    </row>
    <row r="17" spans="2:9" ht="15" x14ac:dyDescent="0.2">
      <c r="B17" s="363"/>
      <c r="C17" s="7" t="s">
        <v>1087</v>
      </c>
      <c r="D17" s="264">
        <v>170560.22</v>
      </c>
      <c r="E17" s="8"/>
      <c r="F17" s="249">
        <v>163217.43210999999</v>
      </c>
      <c r="G17" s="154">
        <v>0</v>
      </c>
      <c r="H17" s="233">
        <v>170795.889</v>
      </c>
      <c r="I17" s="364"/>
    </row>
    <row r="18" spans="2:9" x14ac:dyDescent="0.15">
      <c r="B18" s="363"/>
      <c r="C18" s="6" t="s">
        <v>502</v>
      </c>
      <c r="D18" s="263"/>
      <c r="E18" s="8"/>
      <c r="F18" s="251"/>
      <c r="G18" s="8"/>
      <c r="H18" s="232"/>
      <c r="I18" s="364"/>
    </row>
    <row r="19" spans="2:9" x14ac:dyDescent="0.15">
      <c r="B19" s="363"/>
      <c r="C19" s="6" t="s">
        <v>1088</v>
      </c>
      <c r="D19" s="263">
        <v>1000</v>
      </c>
      <c r="E19" s="8"/>
      <c r="F19" s="252">
        <v>4509.2089999999998</v>
      </c>
      <c r="G19" s="8"/>
      <c r="H19" s="235">
        <v>2943.0312999999996</v>
      </c>
      <c r="I19" s="364"/>
    </row>
    <row r="20" spans="2:9" x14ac:dyDescent="0.15">
      <c r="B20" s="363"/>
      <c r="C20" s="6" t="s">
        <v>1077</v>
      </c>
      <c r="D20" s="263">
        <v>30000</v>
      </c>
      <c r="E20" s="8"/>
      <c r="F20" s="248">
        <v>28000</v>
      </c>
      <c r="G20" s="8"/>
      <c r="H20" s="236">
        <v>27445.116969999999</v>
      </c>
      <c r="I20" s="364"/>
    </row>
    <row r="21" spans="2:9" x14ac:dyDescent="0.15">
      <c r="B21" s="363"/>
      <c r="C21" s="6" t="s">
        <v>1465</v>
      </c>
      <c r="D21" s="263"/>
      <c r="E21" s="8"/>
      <c r="F21" s="248"/>
      <c r="G21" s="8"/>
      <c r="H21" s="232"/>
      <c r="I21" s="364"/>
    </row>
    <row r="22" spans="2:9" x14ac:dyDescent="0.15">
      <c r="B22" s="363"/>
      <c r="C22" s="6" t="s">
        <v>264</v>
      </c>
      <c r="D22" s="263"/>
      <c r="E22" s="8"/>
      <c r="F22" s="248"/>
      <c r="G22" s="8"/>
      <c r="H22" s="232"/>
      <c r="I22" s="364"/>
    </row>
    <row r="23" spans="2:9" x14ac:dyDescent="0.15">
      <c r="B23" s="363"/>
      <c r="C23" s="6" t="s">
        <v>1091</v>
      </c>
      <c r="D23" s="266"/>
      <c r="E23" s="8"/>
      <c r="F23" s="253"/>
      <c r="G23" s="8"/>
      <c r="H23" s="237"/>
      <c r="I23" s="364"/>
    </row>
    <row r="24" spans="2:9" ht="16" thickBot="1" x14ac:dyDescent="0.25">
      <c r="B24" s="363"/>
      <c r="C24" s="7" t="s">
        <v>1459</v>
      </c>
      <c r="D24" s="267">
        <v>438903.06099999999</v>
      </c>
      <c r="E24" s="8"/>
      <c r="F24" s="254">
        <v>428172.19456999999</v>
      </c>
      <c r="G24" s="154">
        <v>0</v>
      </c>
      <c r="H24" s="238">
        <v>405101.58390999999</v>
      </c>
      <c r="I24" s="364"/>
    </row>
    <row r="25" spans="2:9" ht="15" thickTop="1" thickBot="1" x14ac:dyDescent="0.2">
      <c r="B25" s="363"/>
      <c r="C25" s="61"/>
      <c r="D25" s="268"/>
      <c r="E25" s="8"/>
      <c r="F25" s="255"/>
      <c r="G25" s="8"/>
      <c r="H25" s="239"/>
      <c r="I25" s="364"/>
    </row>
    <row r="26" spans="2:9" ht="22" thickBot="1" x14ac:dyDescent="0.3">
      <c r="B26" s="363"/>
      <c r="C26" s="4" t="s">
        <v>1093</v>
      </c>
      <c r="D26" s="269"/>
      <c r="E26" s="8"/>
      <c r="F26" s="256"/>
      <c r="G26" s="8"/>
      <c r="H26" s="240"/>
      <c r="I26" s="364"/>
    </row>
    <row r="27" spans="2:9" x14ac:dyDescent="0.15">
      <c r="B27" s="363"/>
      <c r="C27" s="5" t="s">
        <v>510</v>
      </c>
      <c r="D27" s="263">
        <v>53988.756000000001</v>
      </c>
      <c r="E27" s="8"/>
      <c r="F27" s="248">
        <v>54753.031000000003</v>
      </c>
      <c r="G27" s="8"/>
      <c r="H27" s="236">
        <v>50403.299079999997</v>
      </c>
      <c r="I27" s="364"/>
    </row>
    <row r="28" spans="2:9" x14ac:dyDescent="0.15">
      <c r="B28" s="363"/>
      <c r="C28" s="6" t="s">
        <v>1082</v>
      </c>
      <c r="D28" s="263">
        <v>34876.464</v>
      </c>
      <c r="E28" s="8"/>
      <c r="F28" s="248">
        <v>33414.794999999998</v>
      </c>
      <c r="G28" s="8"/>
      <c r="H28" s="236">
        <v>33590.457949999996</v>
      </c>
      <c r="I28" s="364"/>
    </row>
    <row r="29" spans="2:9" x14ac:dyDescent="0.15">
      <c r="B29" s="363"/>
      <c r="C29" s="6" t="s">
        <v>543</v>
      </c>
      <c r="D29" s="263">
        <v>100705.41654942601</v>
      </c>
      <c r="E29" s="8"/>
      <c r="F29" s="248">
        <v>104309.23175000001</v>
      </c>
      <c r="G29" s="8"/>
      <c r="H29" s="236">
        <v>98248.98247999989</v>
      </c>
      <c r="I29" s="364"/>
    </row>
    <row r="30" spans="2:9" x14ac:dyDescent="0.15">
      <c r="B30" s="363"/>
      <c r="C30" s="10"/>
      <c r="D30" s="263"/>
      <c r="E30" s="8"/>
      <c r="F30" s="248"/>
      <c r="G30" s="8"/>
      <c r="H30" s="232"/>
      <c r="I30" s="364"/>
    </row>
    <row r="31" spans="2:9" ht="15" x14ac:dyDescent="0.2">
      <c r="B31" s="363"/>
      <c r="C31" s="7" t="s">
        <v>1094</v>
      </c>
      <c r="D31" s="270">
        <v>189570.63654942601</v>
      </c>
      <c r="E31" s="8"/>
      <c r="F31" s="257">
        <v>192477.05775000001</v>
      </c>
      <c r="G31" s="8"/>
      <c r="H31" s="241">
        <v>182242.73950999987</v>
      </c>
      <c r="I31" s="364"/>
    </row>
    <row r="32" spans="2:9" x14ac:dyDescent="0.15">
      <c r="B32" s="363"/>
      <c r="C32" s="6" t="s">
        <v>918</v>
      </c>
      <c r="D32" s="263">
        <v>44783.868000000002</v>
      </c>
      <c r="E32" s="8"/>
      <c r="F32" s="248">
        <v>40746.347999999998</v>
      </c>
      <c r="G32" s="8"/>
      <c r="H32" s="232">
        <v>39504.648049999989</v>
      </c>
      <c r="I32" s="364"/>
    </row>
    <row r="33" spans="2:9" x14ac:dyDescent="0.15">
      <c r="B33" s="363"/>
      <c r="C33" s="10" t="s">
        <v>955</v>
      </c>
      <c r="D33" s="263">
        <v>89517.002999999997</v>
      </c>
      <c r="E33" s="8"/>
      <c r="F33" s="248">
        <v>87603.434330000004</v>
      </c>
      <c r="G33" s="8"/>
      <c r="H33" s="232">
        <v>82059.712149999978</v>
      </c>
      <c r="I33" s="364"/>
    </row>
    <row r="34" spans="2:9" ht="15" x14ac:dyDescent="0.2">
      <c r="B34" s="363"/>
      <c r="C34" s="7" t="s">
        <v>1095</v>
      </c>
      <c r="D34" s="270">
        <v>134300.87099999998</v>
      </c>
      <c r="E34" s="8"/>
      <c r="F34" s="257">
        <v>128349.78233</v>
      </c>
      <c r="G34" s="8"/>
      <c r="H34" s="241">
        <v>121564.36019999997</v>
      </c>
      <c r="I34" s="364"/>
    </row>
    <row r="35" spans="2:9" x14ac:dyDescent="0.15">
      <c r="B35" s="363"/>
      <c r="C35" s="6" t="s">
        <v>1010</v>
      </c>
      <c r="D35" s="271">
        <v>15012.227999999999</v>
      </c>
      <c r="E35" s="8"/>
      <c r="F35" s="248">
        <v>15214.347</v>
      </c>
      <c r="G35" s="8"/>
      <c r="H35" s="242">
        <v>13960.32158</v>
      </c>
      <c r="I35" s="364"/>
    </row>
    <row r="36" spans="2:9" x14ac:dyDescent="0.15">
      <c r="B36" s="363"/>
      <c r="C36" s="10" t="s">
        <v>1096</v>
      </c>
      <c r="D36" s="271">
        <v>53786.567000000003</v>
      </c>
      <c r="E36" s="8"/>
      <c r="F36" s="248">
        <v>50032.721360000018</v>
      </c>
      <c r="G36" s="8"/>
      <c r="H36" s="242">
        <v>46279.10305000002</v>
      </c>
      <c r="I36" s="364"/>
    </row>
    <row r="37" spans="2:9" ht="15" x14ac:dyDescent="0.2">
      <c r="B37" s="363"/>
      <c r="C37" s="7" t="s">
        <v>1097</v>
      </c>
      <c r="D37" s="270">
        <v>68798.794999999998</v>
      </c>
      <c r="E37" s="8"/>
      <c r="F37" s="257">
        <v>65247.068360000019</v>
      </c>
      <c r="G37" s="8"/>
      <c r="H37" s="241">
        <v>60239.424630000023</v>
      </c>
      <c r="I37" s="364"/>
    </row>
    <row r="38" spans="2:9" x14ac:dyDescent="0.15">
      <c r="B38" s="363"/>
      <c r="C38" s="6" t="s">
        <v>1098</v>
      </c>
      <c r="D38" s="263">
        <v>1969.7470000000001</v>
      </c>
      <c r="E38" s="8"/>
      <c r="F38" s="248">
        <v>2018.5423099999998</v>
      </c>
      <c r="G38" s="8"/>
      <c r="H38" s="232">
        <v>2126.2910400000001</v>
      </c>
      <c r="I38" s="364"/>
    </row>
    <row r="39" spans="2:9" x14ac:dyDescent="0.15">
      <c r="B39" s="363"/>
      <c r="C39" s="6" t="s">
        <v>1099</v>
      </c>
      <c r="D39" s="263">
        <v>11632.682000000001</v>
      </c>
      <c r="E39" s="8"/>
      <c r="F39" s="248">
        <v>9490.077150000001</v>
      </c>
      <c r="G39" s="8"/>
      <c r="H39" s="232">
        <v>8826.9723300000005</v>
      </c>
      <c r="I39" s="364"/>
    </row>
    <row r="40" spans="2:9" ht="15" x14ac:dyDescent="0.2">
      <c r="B40" s="363"/>
      <c r="C40" s="7" t="s">
        <v>1100</v>
      </c>
      <c r="D40" s="270">
        <v>13602.429</v>
      </c>
      <c r="E40" s="8"/>
      <c r="F40" s="257">
        <v>11508.619460000002</v>
      </c>
      <c r="G40" s="8"/>
      <c r="H40" s="241">
        <v>10953.263370000001</v>
      </c>
      <c r="I40" s="364"/>
    </row>
    <row r="41" spans="2:9" x14ac:dyDescent="0.15">
      <c r="B41" s="363"/>
      <c r="C41" s="6" t="s">
        <v>1068</v>
      </c>
      <c r="D41" s="263">
        <v>2028</v>
      </c>
      <c r="E41" s="8"/>
      <c r="F41" s="248">
        <v>2126.6666700000001</v>
      </c>
      <c r="G41" s="8"/>
      <c r="H41" s="232">
        <v>2115.52837</v>
      </c>
      <c r="I41" s="364"/>
    </row>
    <row r="42" spans="2:9" x14ac:dyDescent="0.15">
      <c r="B42" s="363"/>
      <c r="C42" s="6" t="s">
        <v>1102</v>
      </c>
      <c r="D42" s="272">
        <v>1602.329</v>
      </c>
      <c r="E42" s="8"/>
      <c r="F42" s="258">
        <v>1313</v>
      </c>
      <c r="G42" s="8"/>
      <c r="H42" s="243">
        <v>1494.7408300000002</v>
      </c>
      <c r="I42" s="364"/>
    </row>
    <row r="43" spans="2:9" x14ac:dyDescent="0.15">
      <c r="B43" s="363"/>
      <c r="C43" s="6"/>
      <c r="D43" s="263"/>
      <c r="E43" s="8"/>
      <c r="F43" s="258"/>
      <c r="G43" s="8"/>
      <c r="H43" s="232"/>
      <c r="I43" s="364"/>
    </row>
    <row r="44" spans="2:9" x14ac:dyDescent="0.15">
      <c r="B44" s="363"/>
      <c r="C44" s="6" t="s">
        <v>1077</v>
      </c>
      <c r="D44" s="263">
        <v>29000</v>
      </c>
      <c r="E44" s="8"/>
      <c r="F44" s="258">
        <v>27150</v>
      </c>
      <c r="G44" s="8"/>
      <c r="H44" s="232">
        <v>26504.299480000001</v>
      </c>
      <c r="I44" s="364"/>
    </row>
    <row r="45" spans="2:9" x14ac:dyDescent="0.15">
      <c r="B45" s="363"/>
      <c r="C45" s="6" t="s">
        <v>1103</v>
      </c>
      <c r="D45" s="263"/>
      <c r="E45" s="8"/>
      <c r="F45" s="258"/>
      <c r="G45" s="8"/>
      <c r="H45" s="232"/>
      <c r="I45" s="364"/>
    </row>
    <row r="46" spans="2:9" x14ac:dyDescent="0.15">
      <c r="B46" s="363"/>
      <c r="C46" s="6" t="s">
        <v>263</v>
      </c>
      <c r="D46" s="263"/>
      <c r="E46" s="8"/>
      <c r="F46" s="252"/>
      <c r="G46" s="8"/>
      <c r="H46" s="232"/>
      <c r="I46" s="364"/>
    </row>
    <row r="47" spans="2:9" x14ac:dyDescent="0.15">
      <c r="B47" s="363"/>
      <c r="C47" s="6" t="s">
        <v>1091</v>
      </c>
      <c r="D47" s="273"/>
      <c r="E47" s="8"/>
      <c r="F47" s="252"/>
      <c r="G47" s="8"/>
      <c r="H47" s="240"/>
      <c r="I47" s="364"/>
    </row>
    <row r="48" spans="2:9" ht="16" thickBot="1" x14ac:dyDescent="0.25">
      <c r="B48" s="363"/>
      <c r="C48" s="7" t="s">
        <v>1271</v>
      </c>
      <c r="D48" s="267">
        <v>438903.06054942601</v>
      </c>
      <c r="E48" s="8"/>
      <c r="F48" s="259">
        <v>428172.19457000005</v>
      </c>
      <c r="G48" s="8"/>
      <c r="H48" s="238">
        <v>405114.35638999991</v>
      </c>
      <c r="I48" s="364"/>
    </row>
    <row r="49" spans="2:9" ht="16" thickTop="1" x14ac:dyDescent="0.2">
      <c r="B49" s="363"/>
      <c r="C49" s="11"/>
      <c r="D49" s="274"/>
      <c r="E49" s="8"/>
      <c r="F49" s="260"/>
      <c r="G49" s="12"/>
      <c r="H49" s="244"/>
      <c r="I49" s="364"/>
    </row>
    <row r="50" spans="2:9" ht="16" thickBot="1" x14ac:dyDescent="0.25">
      <c r="B50" s="363"/>
      <c r="C50" s="11" t="s">
        <v>1105</v>
      </c>
      <c r="D50" s="275">
        <v>4.5057397801429033E-4</v>
      </c>
      <c r="E50" s="153">
        <v>0</v>
      </c>
      <c r="F50" s="259">
        <v>0</v>
      </c>
      <c r="G50" s="184"/>
      <c r="H50" s="245">
        <v>-12.772479999926873</v>
      </c>
      <c r="I50" s="364"/>
    </row>
    <row r="51" spans="2:9" ht="14" thickTop="1" x14ac:dyDescent="0.15">
      <c r="C51" s="363" t="s">
        <v>2196</v>
      </c>
      <c r="D51" s="363"/>
      <c r="E51" s="363"/>
      <c r="F51" s="363"/>
      <c r="G51" s="363"/>
      <c r="H51" s="363"/>
    </row>
    <row r="52" spans="2:9" x14ac:dyDescent="0.15">
      <c r="D52" s="199"/>
      <c r="E52" s="175"/>
      <c r="F52" s="175"/>
      <c r="G52" s="175"/>
      <c r="H52" s="175"/>
    </row>
    <row r="53" spans="2:9" x14ac:dyDescent="0.15">
      <c r="D53" s="177"/>
    </row>
  </sheetData>
  <mergeCells count="6">
    <mergeCell ref="C51:H51"/>
    <mergeCell ref="C1:H1"/>
    <mergeCell ref="C2:H2"/>
    <mergeCell ref="C3:H3"/>
    <mergeCell ref="B4:B50"/>
    <mergeCell ref="I4:I50"/>
  </mergeCells>
  <phoneticPr fontId="48" type="noConversion"/>
  <pageMargins left="1.39" right="0.70866141732283472" top="0.74803149606299213" bottom="0.74803149606299213" header="0.31496062992125984" footer="0.31496062992125984"/>
  <pageSetup paperSize="9" scale="94" orientation="portrait" useFirstPageNumber="1" r:id="rId1"/>
  <headerFooter>
    <oddFooter>&amp;Cעמוד 5</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M1:Q15"/>
  <sheetViews>
    <sheetView rightToLeft="1" topLeftCell="B1" workbookViewId="0">
      <selection activeCell="O15" sqref="O15"/>
    </sheetView>
  </sheetViews>
  <sheetFormatPr baseColWidth="10" defaultColWidth="9.1640625" defaultRowHeight="13" x14ac:dyDescent="0.15"/>
  <cols>
    <col min="1" max="1" width="0" style="2" hidden="1" customWidth="1"/>
    <col min="2" max="10" width="9.1640625" style="2"/>
    <col min="11" max="11" width="23.1640625" style="2" customWidth="1"/>
    <col min="12" max="12" width="13" style="2" customWidth="1"/>
    <col min="13" max="13" width="9.1640625" style="32"/>
    <col min="14" max="14" width="9.1640625" style="2"/>
    <col min="15" max="15" width="13.5" style="2" bestFit="1" customWidth="1"/>
    <col min="16" max="16" width="10.1640625" style="2" bestFit="1" customWidth="1"/>
    <col min="17" max="16384" width="9.1640625" style="2"/>
  </cols>
  <sheetData>
    <row r="1" spans="14:17" x14ac:dyDescent="0.15">
      <c r="O1" s="365" t="s">
        <v>2193</v>
      </c>
      <c r="P1" s="365"/>
    </row>
    <row r="2" spans="14:17" ht="15" thickBot="1" x14ac:dyDescent="0.2">
      <c r="N2" s="365" t="s">
        <v>2194</v>
      </c>
      <c r="P2" s="23" t="s">
        <v>1131</v>
      </c>
      <c r="Q2" s="365" t="s">
        <v>2195</v>
      </c>
    </row>
    <row r="3" spans="14:17" ht="29" thickBot="1" x14ac:dyDescent="0.2">
      <c r="N3" s="365"/>
      <c r="O3" s="24" t="s">
        <v>1132</v>
      </c>
      <c r="P3" s="25">
        <f>('טופס 2 לתקציב'!D7+'טופס 2 לתקציב'!D6+'טופס 2 לתקציב'!D20)/'טופס 2 לתקציב'!D24</f>
        <v>0.3938133436713489</v>
      </c>
      <c r="Q3" s="365"/>
    </row>
    <row r="4" spans="14:17" ht="14" thickBot="1" x14ac:dyDescent="0.2">
      <c r="N4" s="365"/>
      <c r="O4" s="26" t="s">
        <v>306</v>
      </c>
      <c r="P4" s="25">
        <f>('טופס 2 לתקציב'!D8+'טופס 2 לתקציב'!D9+'טופס 2 לתקציב'!D10)/'טופס 2 לתקציב'!D24</f>
        <v>0.21530257452453722</v>
      </c>
      <c r="Q4" s="365"/>
    </row>
    <row r="5" spans="14:17" ht="14" thickBot="1" x14ac:dyDescent="0.2">
      <c r="N5" s="365"/>
      <c r="O5" s="26" t="s">
        <v>1101</v>
      </c>
      <c r="P5" s="25">
        <f>'טופס 2 לתקציב'!D12/'טופס 2 לתקציב'!D24</f>
        <v>0.138925248917323</v>
      </c>
      <c r="Q5" s="365"/>
    </row>
    <row r="6" spans="14:17" ht="14" thickBot="1" x14ac:dyDescent="0.2">
      <c r="N6" s="365"/>
      <c r="O6" s="26" t="s">
        <v>1089</v>
      </c>
      <c r="P6" s="25">
        <f>'טופס 2 לתקציב'!D13/'טופס 2 לתקציב'!D24</f>
        <v>0.10907762386282377</v>
      </c>
      <c r="Q6" s="365"/>
    </row>
    <row r="7" spans="14:17" ht="29" thickBot="1" x14ac:dyDescent="0.2">
      <c r="N7" s="365"/>
      <c r="O7" s="27" t="s">
        <v>52</v>
      </c>
      <c r="P7" s="25">
        <f>'טופס 2 לתקציב'!D14/'טופס 2 לתקציב'!D24</f>
        <v>8.3275791963547049E-3</v>
      </c>
      <c r="Q7" s="365"/>
    </row>
    <row r="8" spans="14:17" ht="28" x14ac:dyDescent="0.15">
      <c r="N8" s="365"/>
      <c r="O8" s="27" t="s">
        <v>1133</v>
      </c>
      <c r="P8" s="25">
        <f>('טופס 2 לתקציב'!D15+'טופס 2 לתקציב'!D16)/'טופס 2 לתקציב'!D24</f>
        <v>0.13227522238674932</v>
      </c>
      <c r="Q8" s="365"/>
    </row>
    <row r="9" spans="14:17" x14ac:dyDescent="0.15">
      <c r="N9" s="365"/>
      <c r="Q9" s="365"/>
    </row>
    <row r="10" spans="14:17" ht="14" thickBot="1" x14ac:dyDescent="0.2">
      <c r="N10" s="365"/>
      <c r="O10" s="28" t="s">
        <v>1324</v>
      </c>
      <c r="P10" s="29">
        <f>'טופס 2 לתקציב'!D19/'טופס 2 לתקציב'!D24</f>
        <v>2.2784074408631204E-3</v>
      </c>
      <c r="Q10" s="365"/>
    </row>
    <row r="11" spans="14:17" ht="14" thickBot="1" x14ac:dyDescent="0.2">
      <c r="N11" s="365"/>
      <c r="O11" s="30"/>
      <c r="P11" s="29"/>
      <c r="Q11" s="365"/>
    </row>
    <row r="12" spans="14:17" x14ac:dyDescent="0.15">
      <c r="O12" s="365" t="s">
        <v>2196</v>
      </c>
      <c r="P12" s="365"/>
    </row>
    <row r="13" spans="14:17" x14ac:dyDescent="0.15">
      <c r="P13" s="31">
        <f>SUM(P3:P11)</f>
        <v>0.99999999999999989</v>
      </c>
    </row>
    <row r="14" spans="14:17" x14ac:dyDescent="0.15">
      <c r="O14" s="374" t="s">
        <v>2198</v>
      </c>
      <c r="P14" s="374"/>
      <c r="Q14" s="374"/>
    </row>
    <row r="15" spans="14:17" x14ac:dyDescent="0.15">
      <c r="O15" s="369" t="s">
        <v>2197</v>
      </c>
    </row>
  </sheetData>
  <mergeCells count="4">
    <mergeCell ref="O1:P1"/>
    <mergeCell ref="N2:N11"/>
    <mergeCell ref="Q2:Q11"/>
    <mergeCell ref="O12:P12"/>
  </mergeCells>
  <phoneticPr fontId="48" type="noConversion"/>
  <printOptions horizontalCentered="1" verticalCentered="1"/>
  <pageMargins left="0.74803149606299213" right="1.1811023622047245" top="0.98425196850393704" bottom="0.98425196850393704" header="0.51181102362204722" footer="0.51181102362204722"/>
  <pageSetup paperSize="9" orientation="landscape" r:id="rId1"/>
  <headerFooter alignWithMargins="0">
    <oddHeader xml:space="preserve">&amp;R עיריית עכו - הצעת תקציב 2019
</oddHeader>
    <oddFooter xml:space="preserve">&amp;C עמוד 8
</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L1:R7"/>
  <sheetViews>
    <sheetView rightToLeft="1" workbookViewId="0">
      <selection activeCell="P6" sqref="P6"/>
    </sheetView>
  </sheetViews>
  <sheetFormatPr baseColWidth="10" defaultColWidth="9.1640625" defaultRowHeight="13" x14ac:dyDescent="0.15"/>
  <cols>
    <col min="1" max="9" width="9.1640625" style="2"/>
    <col min="10" max="10" width="14.1640625" style="2" customWidth="1"/>
    <col min="11" max="11" width="13.5" style="2" customWidth="1"/>
    <col min="12" max="12" width="9.1640625" style="34"/>
    <col min="13" max="15" width="9.1640625" style="2"/>
    <col min="16" max="16" width="13.5" style="2" bestFit="1" customWidth="1"/>
    <col min="17" max="16384" width="9.1640625" style="2"/>
  </cols>
  <sheetData>
    <row r="1" spans="15:18" x14ac:dyDescent="0.15">
      <c r="P1" s="368" t="s">
        <v>2193</v>
      </c>
      <c r="Q1" s="368"/>
    </row>
    <row r="2" spans="15:18" ht="15" thickBot="1" x14ac:dyDescent="0.2">
      <c r="O2" s="368" t="s">
        <v>2194</v>
      </c>
      <c r="Q2" s="23" t="s">
        <v>1134</v>
      </c>
      <c r="R2" s="368" t="s">
        <v>2195</v>
      </c>
    </row>
    <row r="3" spans="15:18" ht="14" thickBot="1" x14ac:dyDescent="0.2">
      <c r="O3" s="368"/>
      <c r="P3" s="33" t="s">
        <v>1135</v>
      </c>
      <c r="Q3" s="25">
        <f>('טופס 2 לתקציב'!D6+'טופס 2 לתקציב'!D7+'טופס 2 לתקציב'!D8+'טופס 2 לתקציב'!D9+'טופס 2 לתקציב'!D10+'טופס 2 לתקציב'!D19)/'טופס 2 לתקציב'!D24</f>
        <v>0.5430421024108556</v>
      </c>
      <c r="R3" s="368"/>
    </row>
    <row r="4" spans="15:18" x14ac:dyDescent="0.15">
      <c r="O4" s="368"/>
      <c r="P4" s="33" t="s">
        <v>1136</v>
      </c>
      <c r="Q4" s="25">
        <f>1-Q3</f>
        <v>0.4569578975891444</v>
      </c>
      <c r="R4" s="368"/>
    </row>
    <row r="5" spans="15:18" x14ac:dyDescent="0.15">
      <c r="P5" s="367" t="s">
        <v>2196</v>
      </c>
      <c r="Q5" s="367"/>
    </row>
    <row r="6" spans="15:18" x14ac:dyDescent="0.15">
      <c r="P6" s="366" t="s">
        <v>2198</v>
      </c>
    </row>
    <row r="7" spans="15:18" x14ac:dyDescent="0.15">
      <c r="P7" s="366" t="s">
        <v>2197</v>
      </c>
    </row>
  </sheetData>
  <mergeCells count="4">
    <mergeCell ref="P1:Q1"/>
    <mergeCell ref="O2:O4"/>
    <mergeCell ref="R2:R4"/>
    <mergeCell ref="P5:Q5"/>
  </mergeCells>
  <phoneticPr fontId="48" type="noConversion"/>
  <printOptions horizontalCentered="1"/>
  <pageMargins left="0.74803149606299213" right="1.3779527559055118" top="0.98425196850393704" bottom="0.98425196850393704" header="0.51181102362204722" footer="0.51181102362204722"/>
  <pageSetup paperSize="9" orientation="landscape" r:id="rId1"/>
  <headerFooter alignWithMargins="0">
    <oddHeader xml:space="preserve">&amp;Rעריית עכו - הצעת תקציב 2019&amp;"Arial,מודגש"&amp;16&amp;E
</oddHeader>
    <oddFooter xml:space="preserve">&amp;Cעמוד 9
</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J1:P14"/>
  <sheetViews>
    <sheetView rightToLeft="1" topLeftCell="E1" workbookViewId="0">
      <selection activeCell="M13" sqref="M13:O13"/>
    </sheetView>
  </sheetViews>
  <sheetFormatPr baseColWidth="10" defaultColWidth="11.5" defaultRowHeight="15" customHeight="1" x14ac:dyDescent="0.15"/>
  <cols>
    <col min="1" max="9" width="11.5" style="45" customWidth="1"/>
    <col min="10" max="10" width="11.5" style="47" customWidth="1"/>
    <col min="11" max="12" width="11.5" style="46" customWidth="1"/>
    <col min="13" max="13" width="15" style="45" customWidth="1"/>
    <col min="14" max="16384" width="11.5" style="45"/>
  </cols>
  <sheetData>
    <row r="1" spans="12:16" ht="15" customHeight="1" thickBot="1" x14ac:dyDescent="0.2">
      <c r="M1" s="373" t="s">
        <v>2193</v>
      </c>
      <c r="N1" s="373"/>
      <c r="O1" s="373"/>
    </row>
    <row r="2" spans="12:16" ht="15" customHeight="1" thickBot="1" x14ac:dyDescent="0.2">
      <c r="L2" s="372" t="s">
        <v>2194</v>
      </c>
      <c r="M2" s="55"/>
      <c r="N2" s="54" t="s">
        <v>2070</v>
      </c>
      <c r="O2" s="53" t="s">
        <v>2069</v>
      </c>
      <c r="P2" s="370" t="s">
        <v>2195</v>
      </c>
    </row>
    <row r="3" spans="12:16" ht="15" customHeight="1" thickTop="1" x14ac:dyDescent="0.15">
      <c r="L3" s="372"/>
      <c r="M3" s="52" t="s">
        <v>273</v>
      </c>
      <c r="N3" s="48">
        <f>'טופס 2 לתקציב'!D6</f>
        <v>142493.777</v>
      </c>
      <c r="O3" s="48">
        <f>'טופס 2 לתקציב'!H6</f>
        <v>127033.62822</v>
      </c>
      <c r="P3" s="370"/>
    </row>
    <row r="4" spans="12:16" ht="15" customHeight="1" x14ac:dyDescent="0.15">
      <c r="L4" s="372"/>
      <c r="M4" s="50" t="s">
        <v>1137</v>
      </c>
      <c r="N4" s="48">
        <f>'טופס 2 לתקציב'!D7</f>
        <v>352.10500000000002</v>
      </c>
      <c r="O4" s="48">
        <f>'טופס 2 לתקציב'!H7</f>
        <v>561.9316</v>
      </c>
      <c r="P4" s="370"/>
    </row>
    <row r="5" spans="12:16" ht="15" customHeight="1" x14ac:dyDescent="0.15">
      <c r="L5" s="372"/>
      <c r="M5" s="50" t="s">
        <v>306</v>
      </c>
      <c r="N5" s="48">
        <f>'טופס 2 לתקציב'!D8+'טופס 2 לתקציב'!D9+'טופס 2 לתקציב'!D10</f>
        <v>94496.959000000003</v>
      </c>
      <c r="O5" s="48">
        <f>'טופס 2 לתקציב'!H8+'טופס 2 לתקציב'!H9+'טופס 2 לתקציב'!H10+'טופס 2 לתקציב'!H18</f>
        <v>76321.986820000006</v>
      </c>
      <c r="P5" s="370"/>
    </row>
    <row r="6" spans="12:16" ht="15" customHeight="1" x14ac:dyDescent="0.15">
      <c r="L6" s="372"/>
      <c r="M6" s="50" t="s">
        <v>1101</v>
      </c>
      <c r="N6" s="48">
        <f>'טופס 2 לתקציב'!D12</f>
        <v>60974.716999999997</v>
      </c>
      <c r="O6" s="48">
        <f>'טופס 2 לתקציב'!H12</f>
        <v>59684.610489999992</v>
      </c>
      <c r="P6" s="370"/>
    </row>
    <row r="7" spans="12:16" ht="15" customHeight="1" x14ac:dyDescent="0.15">
      <c r="L7" s="372"/>
      <c r="M7" s="50" t="s">
        <v>1089</v>
      </c>
      <c r="N7" s="48">
        <f>'טופס 2 לתקציב'!D13</f>
        <v>47874.502999999997</v>
      </c>
      <c r="O7" s="48">
        <f>'טופס 2 לתקציב'!H13</f>
        <v>42994.622510000001</v>
      </c>
      <c r="P7" s="370"/>
    </row>
    <row r="8" spans="12:16" ht="15" customHeight="1" x14ac:dyDescent="0.15">
      <c r="L8" s="372"/>
      <c r="M8" s="51" t="s">
        <v>502</v>
      </c>
      <c r="N8" s="48">
        <f>'טופס 2 לתקציב'!D14</f>
        <v>3655</v>
      </c>
      <c r="O8" s="48">
        <f>'טופס 2 לתקציב'!H14</f>
        <v>9584.884</v>
      </c>
      <c r="P8" s="370"/>
    </row>
    <row r="9" spans="12:16" ht="15" customHeight="1" x14ac:dyDescent="0.15">
      <c r="L9" s="372"/>
      <c r="M9" s="50" t="s">
        <v>1138</v>
      </c>
      <c r="N9" s="48">
        <f>'טופס 2 לתקציב'!D15</f>
        <v>50210</v>
      </c>
      <c r="O9" s="48">
        <f>'טופס 2 לתקציב'!H15</f>
        <v>50629.535000000003</v>
      </c>
      <c r="P9" s="370"/>
    </row>
    <row r="10" spans="12:16" ht="15" customHeight="1" thickBot="1" x14ac:dyDescent="0.2">
      <c r="L10" s="372"/>
      <c r="M10" s="49" t="s">
        <v>1139</v>
      </c>
      <c r="N10" s="48">
        <f>'טופס 2 לתקציב'!D16</f>
        <v>7846</v>
      </c>
      <c r="O10" s="48">
        <f>'טופס 2 לתקציב'!H16</f>
        <v>7902.2370000000001</v>
      </c>
      <c r="P10" s="370"/>
    </row>
    <row r="11" spans="12:16" ht="15" customHeight="1" thickBot="1" x14ac:dyDescent="0.2">
      <c r="L11" s="372"/>
      <c r="M11" s="49" t="s">
        <v>1697</v>
      </c>
      <c r="N11" s="48">
        <f>'טופס 2 לתקציב'!D19</f>
        <v>1000</v>
      </c>
      <c r="O11" s="48">
        <f>'טופס 2 לתקציב'!H19</f>
        <v>2943.0312999999996</v>
      </c>
      <c r="P11" s="370"/>
    </row>
    <row r="12" spans="12:16" ht="15" customHeight="1" x14ac:dyDescent="0.15">
      <c r="M12" s="370" t="s">
        <v>2196</v>
      </c>
      <c r="N12" s="370"/>
      <c r="O12" s="370"/>
    </row>
    <row r="13" spans="12:16" ht="15" customHeight="1" x14ac:dyDescent="0.15">
      <c r="M13" s="370" t="s">
        <v>2198</v>
      </c>
      <c r="N13" s="370"/>
      <c r="O13" s="370"/>
    </row>
    <row r="14" spans="12:16" ht="15" customHeight="1" x14ac:dyDescent="0.15">
      <c r="M14" s="371" t="s">
        <v>2197</v>
      </c>
    </row>
  </sheetData>
  <mergeCells count="5">
    <mergeCell ref="M1:O1"/>
    <mergeCell ref="L2:L11"/>
    <mergeCell ref="P2:P11"/>
    <mergeCell ref="M12:O12"/>
    <mergeCell ref="M13:O13"/>
  </mergeCells>
  <phoneticPr fontId="48" type="noConversion"/>
  <printOptions horizontalCentered="1" verticalCentered="1"/>
  <pageMargins left="0" right="0" top="0" bottom="0" header="0" footer="0"/>
  <pageSetup paperSize="9" orientation="landscape" r:id="rId1"/>
  <headerFooter alignWithMargins="0">
    <oddHeader>&amp;C&amp;"Arial,מודגש נטוי"&amp;16&amp;E
&amp;"Arial,מודגש"&amp;14אומדן הכנסות לשנת 2019 בהשוואה לביצוע 2017
&amp;Rעריית עכו - הצעת תקציב 2019</oddHeader>
    <oddFooter xml:space="preserve">&amp;Cעמוד 10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M1:P19"/>
  <sheetViews>
    <sheetView rightToLeft="1" tabSelected="1" topLeftCell="D1" workbookViewId="0">
      <selection activeCell="N18" sqref="N18:O18"/>
    </sheetView>
  </sheetViews>
  <sheetFormatPr baseColWidth="10" defaultColWidth="9.1640625" defaultRowHeight="13" x14ac:dyDescent="0.15"/>
  <cols>
    <col min="1" max="10" width="9.1640625" style="2"/>
    <col min="11" max="11" width="28.5" style="2" customWidth="1"/>
    <col min="12" max="12" width="17.5" style="2" customWidth="1"/>
    <col min="13" max="13" width="9.1640625" style="2"/>
    <col min="14" max="14" width="24.5" style="2" customWidth="1"/>
    <col min="15" max="16384" width="9.1640625" style="2"/>
  </cols>
  <sheetData>
    <row r="1" spans="13:16" x14ac:dyDescent="0.15">
      <c r="N1" s="376" t="s">
        <v>2193</v>
      </c>
      <c r="O1" s="376"/>
    </row>
    <row r="2" spans="13:16" x14ac:dyDescent="0.15">
      <c r="M2" s="375" t="s">
        <v>2194</v>
      </c>
      <c r="N2" s="35" t="s">
        <v>510</v>
      </c>
      <c r="O2" s="36">
        <f>'טופס 2 לתקציב'!D27+'טופס 2 לתקציב'!D28</f>
        <v>88865.22</v>
      </c>
      <c r="P2" s="368" t="s">
        <v>2195</v>
      </c>
    </row>
    <row r="3" spans="13:16" x14ac:dyDescent="0.15">
      <c r="M3" s="375"/>
      <c r="N3" s="35" t="s">
        <v>543</v>
      </c>
      <c r="O3" s="36">
        <f>'טופס 2 לתקציב'!D29</f>
        <v>100705.41654942601</v>
      </c>
      <c r="P3" s="368"/>
    </row>
    <row r="4" spans="13:16" x14ac:dyDescent="0.15">
      <c r="M4" s="375"/>
      <c r="N4" s="35"/>
      <c r="O4" s="36"/>
      <c r="P4" s="368"/>
    </row>
    <row r="5" spans="13:16" x14ac:dyDescent="0.15">
      <c r="M5" s="375"/>
      <c r="N5" s="35" t="s">
        <v>918</v>
      </c>
      <c r="O5" s="36">
        <f>'טופס 2 לתקציב'!D32</f>
        <v>44783.868000000002</v>
      </c>
      <c r="P5" s="368"/>
    </row>
    <row r="6" spans="13:16" x14ac:dyDescent="0.15">
      <c r="M6" s="375"/>
      <c r="N6" s="35" t="s">
        <v>955</v>
      </c>
      <c r="O6" s="36">
        <f>'טופס 2 לתקציב'!D33</f>
        <v>89517.002999999997</v>
      </c>
      <c r="P6" s="368"/>
    </row>
    <row r="7" spans="13:16" x14ac:dyDescent="0.15">
      <c r="M7" s="375"/>
      <c r="N7" s="35" t="s">
        <v>1010</v>
      </c>
      <c r="O7" s="36">
        <f>'טופס 2 לתקציב'!D35</f>
        <v>15012.227999999999</v>
      </c>
      <c r="P7" s="368"/>
    </row>
    <row r="8" spans="13:16" x14ac:dyDescent="0.15">
      <c r="M8" s="375"/>
      <c r="N8" s="35" t="s">
        <v>1096</v>
      </c>
      <c r="O8" s="36">
        <f>'טופס 2 לתקציב'!D36</f>
        <v>53786.567000000003</v>
      </c>
      <c r="P8" s="368"/>
    </row>
    <row r="9" spans="13:16" x14ac:dyDescent="0.15">
      <c r="M9" s="375"/>
      <c r="N9" s="35" t="s">
        <v>1098</v>
      </c>
      <c r="O9" s="36">
        <f>'טופס 2 לתקציב'!D38</f>
        <v>1969.7470000000001</v>
      </c>
      <c r="P9" s="368"/>
    </row>
    <row r="10" spans="13:16" x14ac:dyDescent="0.15">
      <c r="M10" s="375"/>
      <c r="N10" s="35" t="s">
        <v>1099</v>
      </c>
      <c r="O10" s="36">
        <f>'טופס 2 לתקציב'!D39</f>
        <v>11632.682000000001</v>
      </c>
      <c r="P10" s="368"/>
    </row>
    <row r="11" spans="13:16" x14ac:dyDescent="0.15">
      <c r="M11" s="375"/>
      <c r="N11" s="35" t="s">
        <v>1068</v>
      </c>
      <c r="O11" s="36">
        <f>'טופס 2 לתקציב'!D41</f>
        <v>2028</v>
      </c>
      <c r="P11" s="368"/>
    </row>
    <row r="12" spans="13:16" x14ac:dyDescent="0.15">
      <c r="M12" s="375"/>
      <c r="N12" s="35" t="s">
        <v>1077</v>
      </c>
      <c r="O12" s="36">
        <f>'טופס 2 לתקציב'!D44</f>
        <v>29000</v>
      </c>
      <c r="P12" s="368"/>
    </row>
    <row r="13" spans="13:16" x14ac:dyDescent="0.15">
      <c r="M13" s="375"/>
      <c r="N13" s="35" t="s">
        <v>1102</v>
      </c>
      <c r="O13" s="36">
        <f>'טופס 2 לתקציב'!D42</f>
        <v>1602.329</v>
      </c>
      <c r="P13" s="368"/>
    </row>
    <row r="14" spans="13:16" x14ac:dyDescent="0.15">
      <c r="M14" s="375"/>
      <c r="N14" s="35"/>
      <c r="O14" s="36"/>
      <c r="P14" s="368"/>
    </row>
    <row r="15" spans="13:16" x14ac:dyDescent="0.15">
      <c r="M15" s="375"/>
      <c r="N15" s="35"/>
      <c r="O15" s="3"/>
      <c r="P15" s="368"/>
    </row>
    <row r="16" spans="13:16" x14ac:dyDescent="0.15">
      <c r="M16" s="375"/>
      <c r="N16" s="35" t="s">
        <v>1460</v>
      </c>
      <c r="O16" s="36">
        <f>SUM(O2:O14)</f>
        <v>438903.06054942601</v>
      </c>
      <c r="P16" s="368"/>
    </row>
    <row r="17" spans="14:16" x14ac:dyDescent="0.15">
      <c r="N17" s="367" t="s">
        <v>2196</v>
      </c>
      <c r="O17" s="367"/>
    </row>
    <row r="18" spans="14:16" x14ac:dyDescent="0.15">
      <c r="N18" s="370" t="s">
        <v>2198</v>
      </c>
      <c r="O18" s="370"/>
      <c r="P18" s="374"/>
    </row>
    <row r="19" spans="14:16" x14ac:dyDescent="0.15">
      <c r="N19" s="366" t="s">
        <v>2197</v>
      </c>
    </row>
  </sheetData>
  <mergeCells count="5">
    <mergeCell ref="N1:O1"/>
    <mergeCell ref="N17:O17"/>
    <mergeCell ref="N18:O18"/>
    <mergeCell ref="M2:M16"/>
    <mergeCell ref="P2:P16"/>
  </mergeCells>
  <phoneticPr fontId="48" type="noConversion"/>
  <pageMargins left="0.74803149606299213" right="0.86614173228346458" top="0.98425196850393704" bottom="0.98425196850393704" header="0.51181102362204722" footer="0.51181102362204722"/>
  <pageSetup paperSize="9" scale="90" orientation="landscape" r:id="rId1"/>
  <headerFooter alignWithMargins="0">
    <oddHeader xml:space="preserve">&amp;Rעריית עכו - הצעת תקציב 2019
</oddHeader>
    <oddFooter xml:space="preserve">&amp;Cעמוד 11
</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B1:Q33"/>
  <sheetViews>
    <sheetView rightToLeft="1" workbookViewId="0">
      <selection activeCell="N1" activeCellId="4" sqref="N10 M2:M7 N8:P8 Q2:Q7 N1:P1"/>
    </sheetView>
  </sheetViews>
  <sheetFormatPr baseColWidth="10" defaultColWidth="9.1640625" defaultRowHeight="13" x14ac:dyDescent="0.15"/>
  <cols>
    <col min="1" max="10" width="9.1640625" style="2"/>
    <col min="11" max="11" width="15.33203125" style="2" customWidth="1"/>
    <col min="12" max="13" width="9.1640625" style="2"/>
    <col min="14" max="14" width="10.33203125" style="2" bestFit="1" customWidth="1"/>
    <col min="15" max="15" width="9.1640625" style="2"/>
    <col min="16" max="16" width="11.33203125" style="2" bestFit="1" customWidth="1"/>
    <col min="17" max="16384" width="9.1640625" style="2"/>
  </cols>
  <sheetData>
    <row r="1" spans="13:17" ht="14" thickBot="1" x14ac:dyDescent="0.2">
      <c r="N1" s="368" t="s">
        <v>2193</v>
      </c>
      <c r="O1" s="368"/>
      <c r="P1" s="368"/>
    </row>
    <row r="2" spans="13:17" ht="14" thickBot="1" x14ac:dyDescent="0.2">
      <c r="M2" s="368" t="s">
        <v>2194</v>
      </c>
      <c r="N2" s="33" t="s">
        <v>1140</v>
      </c>
      <c r="O2" s="25">
        <f>P2/$P$7</f>
        <v>0.66128895110937858</v>
      </c>
      <c r="P2" s="15">
        <f>P7-P3-P4-P5</f>
        <v>290241.74454942602</v>
      </c>
      <c r="Q2" s="368" t="s">
        <v>2195</v>
      </c>
    </row>
    <row r="3" spans="13:17" ht="14" thickBot="1" x14ac:dyDescent="0.2">
      <c r="M3" s="368"/>
      <c r="N3" s="33" t="s">
        <v>510</v>
      </c>
      <c r="O3" s="25">
        <f>P3/$P$7</f>
        <v>0.20247117868979331</v>
      </c>
      <c r="P3" s="15">
        <f>'טופס 2 לתקציב'!D27+'טופס 2 לתקציב'!D28</f>
        <v>88865.22</v>
      </c>
      <c r="Q3" s="368"/>
    </row>
    <row r="4" spans="13:17" ht="14" thickBot="1" x14ac:dyDescent="0.2">
      <c r="M4" s="368"/>
      <c r="N4" s="33" t="s">
        <v>1092</v>
      </c>
      <c r="O4" s="25">
        <f>P4/$P$7</f>
        <v>3.4203972014247172E-2</v>
      </c>
      <c r="P4" s="15">
        <f>'טופס 2 לתקציב'!D35</f>
        <v>15012.227999999999</v>
      </c>
      <c r="Q4" s="368"/>
    </row>
    <row r="5" spans="13:17" x14ac:dyDescent="0.15">
      <c r="M5" s="368"/>
      <c r="N5" s="33" t="s">
        <v>1141</v>
      </c>
      <c r="O5" s="25">
        <f>P5/$P$7</f>
        <v>0.10203589818658095</v>
      </c>
      <c r="P5" s="15">
        <f>'טופס 2 לתקציב'!D32</f>
        <v>44783.868000000002</v>
      </c>
      <c r="Q5" s="368"/>
    </row>
    <row r="6" spans="13:17" x14ac:dyDescent="0.15">
      <c r="M6" s="368"/>
      <c r="P6" s="15"/>
      <c r="Q6" s="368"/>
    </row>
    <row r="7" spans="13:17" x14ac:dyDescent="0.15">
      <c r="M7" s="368"/>
      <c r="O7" s="31">
        <f>SUM(O2:O6)</f>
        <v>1</v>
      </c>
      <c r="P7" s="37">
        <f>'טופס 2 לתקציב'!D48</f>
        <v>438903.06054942601</v>
      </c>
      <c r="Q7" s="368"/>
    </row>
    <row r="8" spans="13:17" x14ac:dyDescent="0.15">
      <c r="N8" s="368" t="s">
        <v>2196</v>
      </c>
      <c r="O8" s="368"/>
      <c r="P8" s="368"/>
    </row>
    <row r="9" spans="13:17" x14ac:dyDescent="0.15">
      <c r="N9" s="377" t="s">
        <v>2198</v>
      </c>
      <c r="O9" s="377"/>
      <c r="P9" s="377"/>
    </row>
    <row r="10" spans="13:17" x14ac:dyDescent="0.15">
      <c r="N10" s="366" t="s">
        <v>2197</v>
      </c>
    </row>
    <row r="12" spans="13:17" x14ac:dyDescent="0.15">
      <c r="P12" s="9"/>
    </row>
    <row r="33" spans="2:2" x14ac:dyDescent="0.15">
      <c r="B33" s="2" t="s">
        <v>1142</v>
      </c>
    </row>
  </sheetData>
  <mergeCells count="5">
    <mergeCell ref="N1:P1"/>
    <mergeCell ref="N8:P8"/>
    <mergeCell ref="M2:M7"/>
    <mergeCell ref="Q2:Q7"/>
    <mergeCell ref="N9:P9"/>
  </mergeCells>
  <phoneticPr fontId="48" type="noConversion"/>
  <printOptions horizontalCentered="1" verticalCentered="1"/>
  <pageMargins left="0" right="0" top="0" bottom="0" header="0" footer="0"/>
  <pageSetup paperSize="9" orientation="landscape" r:id="rId1"/>
  <headerFooter alignWithMargins="0">
    <oddHeader xml:space="preserve">&amp;R&amp;"Arial (Hebrew),רגיל"עיריית עכו - הצעת תקציב 2019&amp;"Arial (Hebrew),מודגש"&amp;14&amp;E
</oddHeader>
    <oddFooter xml:space="preserve">&amp;Cעמוד 12
</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sheetPr>
  <dimension ref="J1:N18"/>
  <sheetViews>
    <sheetView rightToLeft="1" topLeftCell="C1" workbookViewId="0">
      <selection activeCell="K16" activeCellId="4" sqref="K18 J2:J15 K1:M1 N2:N15 K16:M16"/>
    </sheetView>
  </sheetViews>
  <sheetFormatPr baseColWidth="10" defaultColWidth="13.5" defaultRowHeight="13" x14ac:dyDescent="0.15"/>
  <cols>
    <col min="1" max="10" width="13.5" style="2" customWidth="1"/>
    <col min="11" max="11" width="21.5" style="2" customWidth="1"/>
    <col min="12" max="12" width="9" style="2" customWidth="1"/>
    <col min="13" max="13" width="9.5" style="2" customWidth="1"/>
    <col min="14" max="16384" width="13.5" style="2"/>
  </cols>
  <sheetData>
    <row r="1" spans="10:14" ht="14" thickBot="1" x14ac:dyDescent="0.2">
      <c r="K1" s="368" t="s">
        <v>2193</v>
      </c>
      <c r="L1" s="368"/>
      <c r="M1" s="368"/>
    </row>
    <row r="2" spans="10:14" ht="25" thickBot="1" x14ac:dyDescent="0.2">
      <c r="J2" s="368" t="s">
        <v>2194</v>
      </c>
      <c r="K2" s="38"/>
      <c r="L2" s="39" t="s">
        <v>2072</v>
      </c>
      <c r="M2" s="40" t="s">
        <v>2071</v>
      </c>
      <c r="N2" s="368" t="s">
        <v>2195</v>
      </c>
    </row>
    <row r="3" spans="10:14" ht="14" thickTop="1" x14ac:dyDescent="0.15">
      <c r="J3" s="368"/>
      <c r="K3" s="41" t="s">
        <v>510</v>
      </c>
      <c r="L3" s="42">
        <f>'טופס 2 לתקציב'!D27+'טופס 2 לתקציב'!D28</f>
        <v>88865.22</v>
      </c>
      <c r="M3" s="42">
        <f>'טופס 2 לתקציב'!H27+'טופס 2 לתקציב'!H28</f>
        <v>83993.757029999993</v>
      </c>
      <c r="N3" s="368"/>
    </row>
    <row r="4" spans="10:14" x14ac:dyDescent="0.15">
      <c r="J4" s="368"/>
      <c r="K4" s="41" t="s">
        <v>543</v>
      </c>
      <c r="L4" s="42">
        <f>'טופס 2 לתקציב'!D29</f>
        <v>100705.41654942601</v>
      </c>
      <c r="M4" s="42">
        <f>'טופס 2 לתקציב'!H29</f>
        <v>98248.98247999989</v>
      </c>
      <c r="N4" s="368"/>
    </row>
    <row r="5" spans="10:14" x14ac:dyDescent="0.15">
      <c r="J5" s="368"/>
      <c r="K5" s="41" t="s">
        <v>918</v>
      </c>
      <c r="L5" s="42">
        <f>'טופס 2 לתקציב'!D32</f>
        <v>44783.868000000002</v>
      </c>
      <c r="M5" s="42">
        <f>'טופס 2 לתקציב'!H32</f>
        <v>39504.648049999989</v>
      </c>
      <c r="N5" s="368"/>
    </row>
    <row r="6" spans="10:14" x14ac:dyDescent="0.15">
      <c r="J6" s="368"/>
      <c r="K6" s="41" t="s">
        <v>955</v>
      </c>
      <c r="L6" s="42">
        <f>'טופס 2 לתקציב'!D33</f>
        <v>89517.002999999997</v>
      </c>
      <c r="M6" s="42">
        <f>'טופס 2 לתקציב'!H33</f>
        <v>82059.712149999978</v>
      </c>
      <c r="N6" s="368"/>
    </row>
    <row r="7" spans="10:14" x14ac:dyDescent="0.15">
      <c r="J7" s="368"/>
      <c r="K7" s="41" t="s">
        <v>1010</v>
      </c>
      <c r="L7" s="42">
        <f>'טופס 2 לתקציב'!D35</f>
        <v>15012.227999999999</v>
      </c>
      <c r="M7" s="42">
        <f>'טופס 2 לתקציב'!H35</f>
        <v>13960.32158</v>
      </c>
      <c r="N7" s="368"/>
    </row>
    <row r="8" spans="10:14" x14ac:dyDescent="0.15">
      <c r="J8" s="368"/>
      <c r="K8" s="41" t="s">
        <v>1096</v>
      </c>
      <c r="L8" s="42">
        <f>'טופס 2 לתקציב'!D36</f>
        <v>53786.567000000003</v>
      </c>
      <c r="M8" s="42">
        <f>'טופס 2 לתקציב'!H36</f>
        <v>46279.10305000002</v>
      </c>
      <c r="N8" s="368"/>
    </row>
    <row r="9" spans="10:14" x14ac:dyDescent="0.15">
      <c r="J9" s="368"/>
      <c r="K9" s="41" t="s">
        <v>1100</v>
      </c>
      <c r="L9" s="42">
        <f>'טופס 2 לתקציב'!D38+'טופס 2 לתקציב'!D39</f>
        <v>13602.429</v>
      </c>
      <c r="M9" s="42">
        <f>'טופס 2 לתקציב'!H38+'טופס 2 לתקציב'!H39</f>
        <v>10953.263370000001</v>
      </c>
      <c r="N9" s="368"/>
    </row>
    <row r="10" spans="10:14" x14ac:dyDescent="0.15">
      <c r="J10" s="368"/>
      <c r="K10" s="41" t="s">
        <v>1068</v>
      </c>
      <c r="L10" s="42">
        <f>'טופס 2 לתקציב'!D41</f>
        <v>2028</v>
      </c>
      <c r="M10" s="42">
        <f>'טופס 2 לתקציב'!H41</f>
        <v>2115.52837</v>
      </c>
      <c r="N10" s="368"/>
    </row>
    <row r="11" spans="10:14" x14ac:dyDescent="0.15">
      <c r="J11" s="368"/>
      <c r="K11" s="41" t="s">
        <v>1143</v>
      </c>
      <c r="L11" s="42">
        <f>'טופס 2 לתקציב'!D42</f>
        <v>1602.329</v>
      </c>
      <c r="M11" s="42">
        <f>'טופס 2 לתקציב'!H42</f>
        <v>1494.7408300000002</v>
      </c>
      <c r="N11" s="368"/>
    </row>
    <row r="12" spans="10:14" x14ac:dyDescent="0.15">
      <c r="J12" s="368"/>
      <c r="K12" s="41"/>
      <c r="L12" s="42"/>
      <c r="M12" s="42"/>
      <c r="N12" s="368"/>
    </row>
    <row r="13" spans="10:14" x14ac:dyDescent="0.15">
      <c r="J13" s="368"/>
      <c r="K13" s="41" t="s">
        <v>1077</v>
      </c>
      <c r="L13" s="42">
        <f>'טופס 2 לתקציב'!D44</f>
        <v>29000</v>
      </c>
      <c r="M13" s="42">
        <f>'טופס 2 לתקציב'!H44</f>
        <v>26504.299480000001</v>
      </c>
      <c r="N13" s="368"/>
    </row>
    <row r="14" spans="10:14" x14ac:dyDescent="0.15">
      <c r="J14" s="368"/>
      <c r="N14" s="368"/>
    </row>
    <row r="15" spans="10:14" x14ac:dyDescent="0.15">
      <c r="J15" s="368"/>
      <c r="K15" s="35" t="s">
        <v>1104</v>
      </c>
      <c r="L15" s="36">
        <f>SUM(L3:L14)</f>
        <v>438903.06054942607</v>
      </c>
      <c r="M15" s="36">
        <f>SUM(M3:M14)</f>
        <v>405114.35638999991</v>
      </c>
      <c r="N15" s="368"/>
    </row>
    <row r="16" spans="10:14" x14ac:dyDescent="0.15">
      <c r="K16" s="367" t="s">
        <v>2196</v>
      </c>
      <c r="L16" s="367"/>
      <c r="M16" s="367"/>
    </row>
    <row r="17" spans="11:13" x14ac:dyDescent="0.15">
      <c r="K17" s="377" t="s">
        <v>2198</v>
      </c>
      <c r="L17" s="377"/>
      <c r="M17" s="377"/>
    </row>
    <row r="18" spans="11:13" x14ac:dyDescent="0.15">
      <c r="K18" s="366" t="s">
        <v>2197</v>
      </c>
    </row>
  </sheetData>
  <mergeCells count="5">
    <mergeCell ref="K1:M1"/>
    <mergeCell ref="J2:J15"/>
    <mergeCell ref="N2:N15"/>
    <mergeCell ref="K16:M16"/>
    <mergeCell ref="K17:M17"/>
  </mergeCells>
  <phoneticPr fontId="48" type="noConversion"/>
  <printOptions horizontalCentered="1" verticalCentered="1"/>
  <pageMargins left="0" right="0" top="0" bottom="0" header="0.51181102362204722" footer="0"/>
  <pageSetup paperSize="9" orientation="landscape" r:id="rId1"/>
  <headerFooter alignWithMargins="0">
    <oddHeader>&amp;Rעריית עכו - הצעת תקציב 2019</oddHeader>
    <oddFooter xml:space="preserve">&amp;Cעמוד 13
</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sheetPr>
  <dimension ref="B1:N48"/>
  <sheetViews>
    <sheetView rightToLeft="1" workbookViewId="0">
      <selection activeCell="C6" activeCellId="4" sqref="C47 C46:L46 B7:B45 M7:M45 C6:L6"/>
    </sheetView>
  </sheetViews>
  <sheetFormatPr baseColWidth="10" defaultColWidth="8.83203125" defaultRowHeight="13" x14ac:dyDescent="0.15"/>
  <cols>
    <col min="3" max="3" width="7.5" bestFit="1" customWidth="1"/>
    <col min="4" max="4" width="20.5" bestFit="1" customWidth="1"/>
    <col min="5" max="5" width="9.6640625" bestFit="1" customWidth="1"/>
    <col min="6" max="6" width="10.5" bestFit="1" customWidth="1"/>
    <col min="7" max="7" width="9.5" customWidth="1"/>
    <col min="8" max="10" width="9.6640625" bestFit="1" customWidth="1"/>
    <col min="11" max="11" width="9.6640625" style="163" bestFit="1" customWidth="1"/>
    <col min="12" max="12" width="9.6640625" bestFit="1" customWidth="1"/>
  </cols>
  <sheetData>
    <row r="1" spans="2:13" ht="17" thickBot="1" x14ac:dyDescent="0.25">
      <c r="E1" s="145"/>
      <c r="F1" s="146" t="s">
        <v>1334</v>
      </c>
      <c r="G1" s="145"/>
      <c r="H1" s="105"/>
      <c r="I1" s="105"/>
    </row>
    <row r="2" spans="2:13" ht="18" thickTop="1" thickBot="1" x14ac:dyDescent="0.25">
      <c r="E2" s="355" t="s">
        <v>2073</v>
      </c>
      <c r="F2" s="355"/>
      <c r="G2" s="355"/>
      <c r="H2" s="108"/>
      <c r="I2" s="108"/>
    </row>
    <row r="3" spans="2:13" ht="15" thickTop="1" x14ac:dyDescent="0.15">
      <c r="E3" s="104"/>
      <c r="F3" s="104"/>
      <c r="G3" s="104"/>
      <c r="H3" s="104"/>
      <c r="I3" s="104"/>
    </row>
    <row r="4" spans="2:13" ht="18" x14ac:dyDescent="0.2">
      <c r="E4" s="321" t="s">
        <v>1335</v>
      </c>
      <c r="F4" s="321"/>
      <c r="G4" s="321"/>
      <c r="H4" s="321"/>
      <c r="I4" s="321"/>
    </row>
    <row r="5" spans="2:13" ht="14" x14ac:dyDescent="0.15">
      <c r="E5" s="104"/>
      <c r="F5" s="104"/>
      <c r="G5" s="104"/>
      <c r="H5" s="104"/>
      <c r="I5" s="104"/>
    </row>
    <row r="6" spans="2:13" ht="14.25" customHeight="1" thickBot="1" x14ac:dyDescent="0.2">
      <c r="C6" s="381" t="s">
        <v>2193</v>
      </c>
      <c r="D6" s="381"/>
      <c r="E6" s="381"/>
      <c r="F6" s="381"/>
      <c r="G6" s="381"/>
      <c r="H6" s="381"/>
      <c r="I6" s="381"/>
      <c r="J6" s="381"/>
      <c r="K6" s="381"/>
      <c r="L6" s="381"/>
      <c r="M6" s="62"/>
    </row>
    <row r="7" spans="2:13" ht="24.75" customHeight="1" thickBot="1" x14ac:dyDescent="0.2">
      <c r="B7" s="379" t="s">
        <v>2194</v>
      </c>
      <c r="C7" s="334" t="s">
        <v>1274</v>
      </c>
      <c r="D7" s="352" t="s">
        <v>1275</v>
      </c>
      <c r="E7" s="356" t="s">
        <v>2068</v>
      </c>
      <c r="F7" s="351"/>
      <c r="G7" s="350" t="s">
        <v>1698</v>
      </c>
      <c r="H7" s="351"/>
      <c r="I7" s="350" t="s">
        <v>2074</v>
      </c>
      <c r="J7" s="351"/>
      <c r="K7" s="350" t="s">
        <v>2075</v>
      </c>
      <c r="L7" s="351"/>
      <c r="M7" s="380" t="s">
        <v>2195</v>
      </c>
    </row>
    <row r="8" spans="2:13" x14ac:dyDescent="0.15">
      <c r="B8" s="379"/>
      <c r="C8" s="64"/>
      <c r="D8" s="353"/>
      <c r="E8" s="332" t="s">
        <v>1340</v>
      </c>
      <c r="F8" s="330" t="s">
        <v>1341</v>
      </c>
      <c r="G8" s="330" t="s">
        <v>1340</v>
      </c>
      <c r="H8" s="330" t="s">
        <v>1341</v>
      </c>
      <c r="I8" s="330" t="s">
        <v>1340</v>
      </c>
      <c r="J8" s="330" t="s">
        <v>1341</v>
      </c>
      <c r="K8" s="331" t="s">
        <v>1340</v>
      </c>
      <c r="L8" s="335" t="s">
        <v>1341</v>
      </c>
      <c r="M8" s="380"/>
    </row>
    <row r="9" spans="2:13" ht="14" thickBot="1" x14ac:dyDescent="0.2">
      <c r="B9" s="379"/>
      <c r="C9" s="68"/>
      <c r="D9" s="354"/>
      <c r="E9" s="333"/>
      <c r="F9" s="319"/>
      <c r="G9" s="319"/>
      <c r="H9" s="319"/>
      <c r="I9" s="319"/>
      <c r="J9" s="319"/>
      <c r="K9" s="329"/>
      <c r="L9" s="336"/>
      <c r="M9" s="380"/>
    </row>
    <row r="10" spans="2:13" x14ac:dyDescent="0.15">
      <c r="B10" s="379"/>
      <c r="C10" s="64">
        <v>6</v>
      </c>
      <c r="D10" s="111" t="s">
        <v>1284</v>
      </c>
      <c r="E10" s="82"/>
      <c r="F10" s="320"/>
      <c r="G10" s="318"/>
      <c r="H10" s="114"/>
      <c r="I10" s="114"/>
      <c r="J10" s="114"/>
      <c r="K10" s="186"/>
      <c r="L10" s="78"/>
      <c r="M10" s="380"/>
    </row>
    <row r="11" spans="2:13" x14ac:dyDescent="0.15">
      <c r="B11" s="379"/>
      <c r="C11" s="72">
        <v>61</v>
      </c>
      <c r="D11" s="112" t="s">
        <v>512</v>
      </c>
      <c r="E11" s="131">
        <v>3</v>
      </c>
      <c r="F11" s="114">
        <v>1922</v>
      </c>
      <c r="G11" s="131">
        <v>3</v>
      </c>
      <c r="H11" s="131">
        <v>1943</v>
      </c>
      <c r="I11" s="174">
        <v>3</v>
      </c>
      <c r="J11" s="131">
        <v>2122</v>
      </c>
      <c r="K11" s="174">
        <v>3</v>
      </c>
      <c r="L11" s="135">
        <v>2156</v>
      </c>
      <c r="M11" s="380"/>
    </row>
    <row r="12" spans="2:13" x14ac:dyDescent="0.15">
      <c r="B12" s="379"/>
      <c r="C12" s="72">
        <v>61</v>
      </c>
      <c r="D12" s="112" t="s">
        <v>1285</v>
      </c>
      <c r="E12" s="131">
        <v>32.5</v>
      </c>
      <c r="F12" s="131">
        <v>7855</v>
      </c>
      <c r="G12" s="131">
        <v>32.5</v>
      </c>
      <c r="H12" s="131">
        <v>8087</v>
      </c>
      <c r="I12" s="174">
        <f>35.5-3</f>
        <v>32.5</v>
      </c>
      <c r="J12" s="131">
        <v>8152</v>
      </c>
      <c r="K12" s="174">
        <v>34</v>
      </c>
      <c r="L12" s="135">
        <v>7131</v>
      </c>
      <c r="M12" s="380"/>
    </row>
    <row r="13" spans="2:13" x14ac:dyDescent="0.15">
      <c r="B13" s="379"/>
      <c r="C13" s="72">
        <v>62</v>
      </c>
      <c r="D13" s="112" t="s">
        <v>1338</v>
      </c>
      <c r="E13" s="131">
        <v>13.5</v>
      </c>
      <c r="F13" s="131">
        <v>3043</v>
      </c>
      <c r="G13" s="131">
        <v>14.5</v>
      </c>
      <c r="H13" s="131">
        <v>3367</v>
      </c>
      <c r="I13" s="174">
        <v>15.9</v>
      </c>
      <c r="J13" s="131">
        <v>3599</v>
      </c>
      <c r="K13" s="174">
        <v>16.5</v>
      </c>
      <c r="L13" s="135">
        <v>3775</v>
      </c>
      <c r="M13" s="380"/>
    </row>
    <row r="14" spans="2:13" ht="14" thickBot="1" x14ac:dyDescent="0.2">
      <c r="B14" s="379"/>
      <c r="C14" s="122"/>
      <c r="D14" s="123" t="s">
        <v>1339</v>
      </c>
      <c r="E14" s="124">
        <f t="shared" ref="E14:L14" si="0">SUM(E11:E13)</f>
        <v>49</v>
      </c>
      <c r="F14" s="124">
        <f t="shared" si="0"/>
        <v>12820</v>
      </c>
      <c r="G14" s="124">
        <f t="shared" si="0"/>
        <v>50</v>
      </c>
      <c r="H14" s="124">
        <f t="shared" si="0"/>
        <v>13397</v>
      </c>
      <c r="I14" s="187">
        <f t="shared" si="0"/>
        <v>51.4</v>
      </c>
      <c r="J14" s="124">
        <f t="shared" si="0"/>
        <v>13873</v>
      </c>
      <c r="K14" s="187">
        <f t="shared" si="0"/>
        <v>53.5</v>
      </c>
      <c r="L14" s="128">
        <f t="shared" si="0"/>
        <v>13062</v>
      </c>
      <c r="M14" s="380"/>
    </row>
    <row r="15" spans="2:13" ht="14" thickTop="1" x14ac:dyDescent="0.15">
      <c r="B15" s="379"/>
      <c r="C15" s="118"/>
      <c r="D15" s="119"/>
      <c r="E15" s="121"/>
      <c r="F15" s="121"/>
      <c r="G15" s="120"/>
      <c r="H15" s="120"/>
      <c r="I15" s="207"/>
      <c r="J15" s="121"/>
      <c r="K15" s="188"/>
      <c r="L15" s="129"/>
      <c r="M15" s="380"/>
    </row>
    <row r="16" spans="2:13" x14ac:dyDescent="0.15">
      <c r="B16" s="379"/>
      <c r="C16" s="72">
        <v>7</v>
      </c>
      <c r="D16" s="111" t="s">
        <v>1287</v>
      </c>
      <c r="E16" s="114"/>
      <c r="F16" s="114"/>
      <c r="G16" s="114"/>
      <c r="H16" s="114"/>
      <c r="I16" s="186"/>
      <c r="J16" s="114"/>
      <c r="K16" s="186"/>
      <c r="L16" s="78"/>
      <c r="M16" s="380"/>
    </row>
    <row r="17" spans="2:14" x14ac:dyDescent="0.15">
      <c r="B17" s="379"/>
      <c r="C17" s="72">
        <v>71</v>
      </c>
      <c r="D17" s="117" t="s">
        <v>1289</v>
      </c>
      <c r="E17" s="131">
        <v>45</v>
      </c>
      <c r="F17" s="131">
        <v>7673</v>
      </c>
      <c r="G17" s="131">
        <v>51</v>
      </c>
      <c r="H17" s="131">
        <v>8404</v>
      </c>
      <c r="I17" s="174">
        <v>48.5</v>
      </c>
      <c r="J17" s="131">
        <v>8341</v>
      </c>
      <c r="K17" s="174">
        <v>49</v>
      </c>
      <c r="L17" s="135">
        <v>8674</v>
      </c>
      <c r="M17" s="380"/>
    </row>
    <row r="18" spans="2:14" x14ac:dyDescent="0.15">
      <c r="B18" s="379"/>
      <c r="C18" s="72">
        <v>72</v>
      </c>
      <c r="D18" s="117" t="s">
        <v>1342</v>
      </c>
      <c r="E18" s="131">
        <v>22</v>
      </c>
      <c r="F18" s="131">
        <v>3575</v>
      </c>
      <c r="G18" s="131">
        <v>18</v>
      </c>
      <c r="H18" s="131">
        <v>2968</v>
      </c>
      <c r="I18" s="174">
        <v>21.5</v>
      </c>
      <c r="J18" s="131">
        <v>3496</v>
      </c>
      <c r="K18" s="174">
        <v>22.2</v>
      </c>
      <c r="L18" s="135">
        <v>3544</v>
      </c>
      <c r="M18" s="380"/>
      <c r="N18" s="57"/>
    </row>
    <row r="19" spans="2:14" x14ac:dyDescent="0.15">
      <c r="B19" s="379"/>
      <c r="C19" s="72">
        <v>73</v>
      </c>
      <c r="D19" s="117" t="s">
        <v>1293</v>
      </c>
      <c r="E19" s="131">
        <v>19</v>
      </c>
      <c r="F19" s="131">
        <v>4645</v>
      </c>
      <c r="G19" s="131">
        <v>22</v>
      </c>
      <c r="H19" s="131">
        <v>5489</v>
      </c>
      <c r="I19" s="174">
        <v>21.1</v>
      </c>
      <c r="J19" s="131">
        <v>5028</v>
      </c>
      <c r="K19" s="174">
        <v>22</v>
      </c>
      <c r="L19" s="135">
        <v>5306</v>
      </c>
      <c r="M19" s="380"/>
    </row>
    <row r="20" spans="2:14" x14ac:dyDescent="0.15">
      <c r="B20" s="379"/>
      <c r="C20" s="72">
        <v>74</v>
      </c>
      <c r="D20" s="117" t="s">
        <v>1295</v>
      </c>
      <c r="E20" s="131">
        <v>39</v>
      </c>
      <c r="F20" s="131">
        <v>6136</v>
      </c>
      <c r="G20" s="131">
        <v>42</v>
      </c>
      <c r="H20" s="131">
        <v>6659</v>
      </c>
      <c r="I20" s="174">
        <v>41.2</v>
      </c>
      <c r="J20" s="131">
        <v>6796</v>
      </c>
      <c r="K20" s="174">
        <v>39.799999999999997</v>
      </c>
      <c r="L20" s="135">
        <v>6424</v>
      </c>
      <c r="M20" s="380"/>
    </row>
    <row r="21" spans="2:14" s="163" customFormat="1" x14ac:dyDescent="0.15">
      <c r="B21" s="379"/>
      <c r="C21" s="172">
        <v>76</v>
      </c>
      <c r="D21" s="173" t="s">
        <v>1343</v>
      </c>
      <c r="E21" s="174">
        <v>3</v>
      </c>
      <c r="F21" s="174">
        <v>534</v>
      </c>
      <c r="G21" s="174">
        <v>6.5</v>
      </c>
      <c r="H21" s="174">
        <v>1123</v>
      </c>
      <c r="I21" s="174">
        <v>4.9000000000000004</v>
      </c>
      <c r="J21" s="174">
        <v>1050</v>
      </c>
      <c r="K21" s="174">
        <v>4.0999999999999996</v>
      </c>
      <c r="L21" s="328">
        <v>944</v>
      </c>
      <c r="M21" s="380"/>
    </row>
    <row r="22" spans="2:14" x14ac:dyDescent="0.15">
      <c r="B22" s="379"/>
      <c r="C22" s="72">
        <v>78</v>
      </c>
      <c r="D22" s="117" t="s">
        <v>1301</v>
      </c>
      <c r="E22" s="131">
        <v>15</v>
      </c>
      <c r="F22" s="131">
        <v>2904</v>
      </c>
      <c r="G22" s="131">
        <v>24.5</v>
      </c>
      <c r="H22" s="131">
        <v>4320</v>
      </c>
      <c r="I22" s="174">
        <v>19.5</v>
      </c>
      <c r="J22" s="131">
        <v>3432</v>
      </c>
      <c r="K22" s="174">
        <v>24.9</v>
      </c>
      <c r="L22" s="135">
        <v>3961</v>
      </c>
      <c r="M22" s="380"/>
    </row>
    <row r="23" spans="2:14" x14ac:dyDescent="0.15">
      <c r="B23" s="379"/>
      <c r="C23" s="126">
        <v>79</v>
      </c>
      <c r="D23" s="130" t="s">
        <v>1345</v>
      </c>
      <c r="E23" s="131"/>
      <c r="F23" s="131"/>
      <c r="G23" s="131"/>
      <c r="H23" s="131"/>
      <c r="I23" s="174"/>
      <c r="J23" s="131"/>
      <c r="K23" s="174"/>
      <c r="L23" s="135"/>
      <c r="M23" s="380"/>
    </row>
    <row r="24" spans="2:14" ht="14" thickBot="1" x14ac:dyDescent="0.2">
      <c r="B24" s="379"/>
      <c r="C24" s="122"/>
      <c r="D24" s="123" t="s">
        <v>1344</v>
      </c>
      <c r="E24" s="124">
        <f t="shared" ref="E24:L24" si="1">SUM(E17:E23)</f>
        <v>143</v>
      </c>
      <c r="F24" s="124">
        <f t="shared" si="1"/>
        <v>25467</v>
      </c>
      <c r="G24" s="124">
        <f t="shared" si="1"/>
        <v>164</v>
      </c>
      <c r="H24" s="124">
        <f t="shared" si="1"/>
        <v>28963</v>
      </c>
      <c r="I24" s="187">
        <f t="shared" si="1"/>
        <v>156.70000000000002</v>
      </c>
      <c r="J24" s="124">
        <f t="shared" si="1"/>
        <v>28143</v>
      </c>
      <c r="K24" s="187">
        <f t="shared" si="1"/>
        <v>162</v>
      </c>
      <c r="L24" s="128">
        <f t="shared" si="1"/>
        <v>28853</v>
      </c>
      <c r="M24" s="380"/>
    </row>
    <row r="25" spans="2:14" ht="14" thickTop="1" x14ac:dyDescent="0.15">
      <c r="B25" s="379"/>
      <c r="C25" s="138"/>
      <c r="D25" s="133"/>
      <c r="E25" s="125"/>
      <c r="F25" s="125"/>
      <c r="G25" s="125"/>
      <c r="H25" s="125"/>
      <c r="I25" s="189"/>
      <c r="J25" s="125"/>
      <c r="K25" s="189"/>
      <c r="L25" s="139"/>
      <c r="M25" s="380"/>
    </row>
    <row r="26" spans="2:14" x14ac:dyDescent="0.15">
      <c r="B26" s="379"/>
      <c r="C26" s="140">
        <v>8</v>
      </c>
      <c r="D26" s="132" t="s">
        <v>1304</v>
      </c>
      <c r="E26" s="115"/>
      <c r="F26" s="115"/>
      <c r="G26" s="115"/>
      <c r="H26" s="115"/>
      <c r="I26" s="190"/>
      <c r="J26" s="115"/>
      <c r="K26" s="190"/>
      <c r="L26" s="141"/>
      <c r="M26" s="380"/>
    </row>
    <row r="27" spans="2:14" x14ac:dyDescent="0.15">
      <c r="B27" s="379"/>
      <c r="C27" s="140">
        <v>81</v>
      </c>
      <c r="D27" s="132" t="s">
        <v>916</v>
      </c>
      <c r="E27" s="131">
        <v>342</v>
      </c>
      <c r="F27" s="131">
        <v>42361</v>
      </c>
      <c r="G27" s="131">
        <v>323</v>
      </c>
      <c r="H27" s="131">
        <v>43651</v>
      </c>
      <c r="I27" s="174">
        <v>339.7</v>
      </c>
      <c r="J27" s="174">
        <v>45707</v>
      </c>
      <c r="K27" s="174">
        <f>337+14</f>
        <v>351</v>
      </c>
      <c r="L27" s="328">
        <v>47873</v>
      </c>
      <c r="M27" s="380"/>
    </row>
    <row r="28" spans="2:14" x14ac:dyDescent="0.15">
      <c r="B28" s="379"/>
      <c r="C28" s="140">
        <v>82</v>
      </c>
      <c r="D28" s="132" t="s">
        <v>1307</v>
      </c>
      <c r="E28" s="131">
        <v>30</v>
      </c>
      <c r="F28" s="131">
        <v>4601</v>
      </c>
      <c r="G28" s="131">
        <v>30</v>
      </c>
      <c r="H28" s="131">
        <v>4816</v>
      </c>
      <c r="I28" s="174">
        <v>30.1</v>
      </c>
      <c r="J28" s="131">
        <v>4565</v>
      </c>
      <c r="K28" s="174">
        <v>27.6</v>
      </c>
      <c r="L28" s="135">
        <v>4540</v>
      </c>
      <c r="M28" s="380"/>
    </row>
    <row r="29" spans="2:14" x14ac:dyDescent="0.15">
      <c r="B29" s="379"/>
      <c r="C29" s="140">
        <v>83</v>
      </c>
      <c r="D29" s="132" t="s">
        <v>1309</v>
      </c>
      <c r="E29" s="131"/>
      <c r="F29" s="131"/>
      <c r="G29" s="131"/>
      <c r="H29" s="131"/>
      <c r="I29" s="174"/>
      <c r="J29" s="131"/>
      <c r="K29" s="174"/>
      <c r="L29" s="135"/>
      <c r="M29" s="380"/>
    </row>
    <row r="30" spans="2:14" x14ac:dyDescent="0.15">
      <c r="B30" s="379"/>
      <c r="C30" s="140">
        <v>84</v>
      </c>
      <c r="D30" s="132" t="s">
        <v>1008</v>
      </c>
      <c r="E30" s="131">
        <v>83</v>
      </c>
      <c r="F30" s="131">
        <v>13960</v>
      </c>
      <c r="G30" s="131">
        <v>88</v>
      </c>
      <c r="H30" s="131">
        <v>15214</v>
      </c>
      <c r="I30" s="174">
        <v>83.1</v>
      </c>
      <c r="J30" s="131">
        <v>14327</v>
      </c>
      <c r="K30" s="174">
        <f>81.7+1</f>
        <v>82.7</v>
      </c>
      <c r="L30" s="135">
        <v>15012</v>
      </c>
      <c r="M30" s="380"/>
    </row>
    <row r="31" spans="2:14" x14ac:dyDescent="0.15">
      <c r="B31" s="379"/>
      <c r="C31" s="140">
        <v>85</v>
      </c>
      <c r="D31" s="132" t="s">
        <v>1312</v>
      </c>
      <c r="E31" s="131"/>
      <c r="F31" s="131"/>
      <c r="G31" s="131"/>
      <c r="H31" s="131"/>
      <c r="I31" s="174"/>
      <c r="J31" s="131"/>
      <c r="K31" s="174"/>
      <c r="L31" s="135"/>
      <c r="M31" s="380"/>
    </row>
    <row r="32" spans="2:14" x14ac:dyDescent="0.15">
      <c r="B32" s="379"/>
      <c r="C32" s="140">
        <v>86</v>
      </c>
      <c r="D32" s="132" t="s">
        <v>1314</v>
      </c>
      <c r="E32" s="131">
        <v>2</v>
      </c>
      <c r="F32" s="131">
        <v>463</v>
      </c>
      <c r="G32" s="131">
        <v>2</v>
      </c>
      <c r="H32" s="131">
        <v>461</v>
      </c>
      <c r="I32" s="174">
        <v>2</v>
      </c>
      <c r="J32" s="131">
        <v>496</v>
      </c>
      <c r="K32" s="174">
        <v>2</v>
      </c>
      <c r="L32" s="135">
        <v>513</v>
      </c>
      <c r="M32" s="380"/>
    </row>
    <row r="33" spans="2:13" x14ac:dyDescent="0.15">
      <c r="B33" s="379"/>
      <c r="C33" s="140">
        <v>87</v>
      </c>
      <c r="D33" s="132" t="s">
        <v>1316</v>
      </c>
      <c r="E33" s="131"/>
      <c r="F33" s="131"/>
      <c r="G33" s="131"/>
      <c r="H33" s="131"/>
      <c r="I33" s="174"/>
      <c r="J33" s="131"/>
      <c r="K33" s="174"/>
      <c r="L33" s="135"/>
      <c r="M33" s="380"/>
    </row>
    <row r="34" spans="2:13" ht="14" thickBot="1" x14ac:dyDescent="0.2">
      <c r="B34" s="379"/>
      <c r="C34" s="142"/>
      <c r="D34" s="134" t="s">
        <v>1349</v>
      </c>
      <c r="E34" s="124">
        <f t="shared" ref="E34:L34" si="2">SUM(E27:E33)</f>
        <v>457</v>
      </c>
      <c r="F34" s="124">
        <f t="shared" si="2"/>
        <v>61385</v>
      </c>
      <c r="G34" s="124">
        <f t="shared" si="2"/>
        <v>443</v>
      </c>
      <c r="H34" s="124">
        <f t="shared" si="2"/>
        <v>64142</v>
      </c>
      <c r="I34" s="187">
        <f t="shared" si="2"/>
        <v>454.9</v>
      </c>
      <c r="J34" s="124">
        <f t="shared" si="2"/>
        <v>65095</v>
      </c>
      <c r="K34" s="187">
        <f t="shared" si="2"/>
        <v>463.3</v>
      </c>
      <c r="L34" s="128">
        <f t="shared" si="2"/>
        <v>67938</v>
      </c>
      <c r="M34" s="380"/>
    </row>
    <row r="35" spans="2:13" ht="14" thickTop="1" x14ac:dyDescent="0.15">
      <c r="B35" s="379"/>
      <c r="C35" s="118"/>
      <c r="D35" s="119"/>
      <c r="E35" s="121"/>
      <c r="F35" s="121"/>
      <c r="G35" s="120"/>
      <c r="H35" s="120"/>
      <c r="I35" s="207"/>
      <c r="J35" s="121"/>
      <c r="K35" s="188"/>
      <c r="L35" s="129"/>
      <c r="M35" s="380"/>
    </row>
    <row r="36" spans="2:13" x14ac:dyDescent="0.15">
      <c r="B36" s="379"/>
      <c r="C36" s="72">
        <v>9</v>
      </c>
      <c r="D36" s="111" t="s">
        <v>1317</v>
      </c>
      <c r="E36" s="114"/>
      <c r="F36" s="114"/>
      <c r="G36" s="114"/>
      <c r="H36" s="114"/>
      <c r="I36" s="186"/>
      <c r="J36" s="114"/>
      <c r="K36" s="186"/>
      <c r="L36" s="78"/>
      <c r="M36" s="380"/>
    </row>
    <row r="37" spans="2:13" x14ac:dyDescent="0.15">
      <c r="B37" s="379"/>
      <c r="C37" s="72">
        <v>91</v>
      </c>
      <c r="D37" s="112" t="s">
        <v>1137</v>
      </c>
      <c r="E37" s="136"/>
      <c r="F37" s="131">
        <v>398</v>
      </c>
      <c r="G37" s="131"/>
      <c r="H37" s="131"/>
      <c r="I37" s="174"/>
      <c r="J37" s="131"/>
      <c r="K37" s="174"/>
      <c r="L37" s="135"/>
      <c r="M37" s="380"/>
    </row>
    <row r="38" spans="2:13" x14ac:dyDescent="0.15">
      <c r="B38" s="379"/>
      <c r="C38" s="72">
        <v>92</v>
      </c>
      <c r="D38" s="112" t="s">
        <v>1350</v>
      </c>
      <c r="E38" s="131"/>
      <c r="F38" s="131"/>
      <c r="G38" s="131"/>
      <c r="H38" s="131"/>
      <c r="I38" s="174"/>
      <c r="J38" s="131"/>
      <c r="K38" s="174"/>
      <c r="L38" s="135"/>
      <c r="M38" s="380"/>
    </row>
    <row r="39" spans="2:13" x14ac:dyDescent="0.15">
      <c r="B39" s="379"/>
      <c r="C39" s="72">
        <v>93</v>
      </c>
      <c r="D39" s="112" t="s">
        <v>1320</v>
      </c>
      <c r="E39" s="131">
        <v>21</v>
      </c>
      <c r="F39" s="131">
        <v>3798</v>
      </c>
      <c r="G39" s="131">
        <v>23</v>
      </c>
      <c r="H39" s="131">
        <v>4212</v>
      </c>
      <c r="I39" s="174">
        <v>22.2</v>
      </c>
      <c r="J39" s="131">
        <v>4176</v>
      </c>
      <c r="K39" s="174">
        <v>20.6</v>
      </c>
      <c r="L39" s="135">
        <v>3932</v>
      </c>
      <c r="M39" s="380"/>
    </row>
    <row r="40" spans="2:13" x14ac:dyDescent="0.15">
      <c r="B40" s="379"/>
      <c r="C40" s="72">
        <v>94</v>
      </c>
      <c r="D40" s="112" t="s">
        <v>1351</v>
      </c>
      <c r="E40" s="131"/>
      <c r="F40" s="131"/>
      <c r="G40" s="131"/>
      <c r="H40" s="131"/>
      <c r="I40" s="174"/>
      <c r="J40" s="131"/>
      <c r="K40" s="174"/>
      <c r="L40" s="135"/>
      <c r="M40" s="380"/>
    </row>
    <row r="41" spans="2:13" x14ac:dyDescent="0.15">
      <c r="B41" s="379"/>
      <c r="C41" s="72">
        <v>97</v>
      </c>
      <c r="D41" s="112" t="s">
        <v>1352</v>
      </c>
      <c r="E41" s="131"/>
      <c r="F41" s="131"/>
      <c r="G41" s="131"/>
      <c r="H41" s="131"/>
      <c r="I41" s="174"/>
      <c r="J41" s="131"/>
      <c r="K41" s="174"/>
      <c r="L41" s="135"/>
      <c r="M41" s="380"/>
    </row>
    <row r="42" spans="2:13" x14ac:dyDescent="0.15">
      <c r="B42" s="379"/>
      <c r="C42" s="72">
        <v>98</v>
      </c>
      <c r="D42" s="112" t="s">
        <v>1353</v>
      </c>
      <c r="E42" s="131"/>
      <c r="F42" s="131">
        <v>252</v>
      </c>
      <c r="G42" s="131"/>
      <c r="H42" s="131">
        <v>280</v>
      </c>
      <c r="I42" s="174"/>
      <c r="J42" s="131">
        <v>282</v>
      </c>
      <c r="K42" s="174"/>
      <c r="L42" s="135">
        <v>270</v>
      </c>
      <c r="M42" s="380"/>
    </row>
    <row r="43" spans="2:13" x14ac:dyDescent="0.15">
      <c r="B43" s="379"/>
      <c r="C43" s="72"/>
      <c r="D43" s="111" t="s">
        <v>1346</v>
      </c>
      <c r="E43" s="137">
        <f t="shared" ref="E43:L43" si="3">SUM(E37:E42)</f>
        <v>21</v>
      </c>
      <c r="F43" s="137">
        <f t="shared" si="3"/>
        <v>4448</v>
      </c>
      <c r="G43" s="137">
        <f t="shared" si="3"/>
        <v>23</v>
      </c>
      <c r="H43" s="137">
        <f t="shared" si="3"/>
        <v>4492</v>
      </c>
      <c r="I43" s="191">
        <f t="shared" si="3"/>
        <v>22.2</v>
      </c>
      <c r="J43" s="137">
        <f t="shared" si="3"/>
        <v>4458</v>
      </c>
      <c r="K43" s="191">
        <f t="shared" si="3"/>
        <v>20.6</v>
      </c>
      <c r="L43" s="143">
        <f t="shared" si="3"/>
        <v>4202</v>
      </c>
      <c r="M43" s="380"/>
    </row>
    <row r="44" spans="2:13" ht="17.25" customHeight="1" x14ac:dyDescent="0.15">
      <c r="B44" s="379"/>
      <c r="C44" s="72"/>
      <c r="D44" s="127" t="s">
        <v>1347</v>
      </c>
      <c r="E44" s="131">
        <v>244</v>
      </c>
      <c r="F44" s="131">
        <v>33339</v>
      </c>
      <c r="G44" s="131">
        <v>246</v>
      </c>
      <c r="H44" s="131">
        <v>33135</v>
      </c>
      <c r="I44" s="174">
        <v>244</v>
      </c>
      <c r="J44" s="131">
        <v>34221</v>
      </c>
      <c r="K44" s="174">
        <v>252.2</v>
      </c>
      <c r="L44" s="135">
        <v>34606</v>
      </c>
      <c r="M44" s="380"/>
    </row>
    <row r="45" spans="2:13" ht="14" thickBot="1" x14ac:dyDescent="0.2">
      <c r="B45" s="379"/>
      <c r="C45" s="87"/>
      <c r="D45" s="113" t="s">
        <v>1348</v>
      </c>
      <c r="E45" s="116">
        <f t="shared" ref="E45:J45" si="4">E44+E43+E34+E24+E14</f>
        <v>914</v>
      </c>
      <c r="F45" s="116">
        <f t="shared" si="4"/>
        <v>137459</v>
      </c>
      <c r="G45" s="116">
        <f t="shared" si="4"/>
        <v>926</v>
      </c>
      <c r="H45" s="116">
        <f>H44+H43+H34+H24+H14</f>
        <v>144129</v>
      </c>
      <c r="I45" s="192">
        <f>I44+I43+I34+I24+I14</f>
        <v>929.19999999999993</v>
      </c>
      <c r="J45" s="116">
        <f t="shared" si="4"/>
        <v>145790</v>
      </c>
      <c r="K45" s="192">
        <f>K44+K43+K34+K24+K14</f>
        <v>951.6</v>
      </c>
      <c r="L45" s="144">
        <f>L44+L43+L34+L24+L14</f>
        <v>148661</v>
      </c>
      <c r="M45" s="380"/>
    </row>
    <row r="46" spans="2:13" x14ac:dyDescent="0.15">
      <c r="C46" s="378" t="s">
        <v>2195</v>
      </c>
      <c r="D46" s="378"/>
      <c r="E46" s="378"/>
      <c r="F46" s="378"/>
      <c r="G46" s="378"/>
      <c r="H46" s="378"/>
      <c r="I46" s="378"/>
      <c r="J46" s="378"/>
      <c r="K46" s="378"/>
      <c r="L46" s="378"/>
    </row>
    <row r="47" spans="2:13" x14ac:dyDescent="0.15">
      <c r="C47" s="366" t="s">
        <v>2197</v>
      </c>
      <c r="D47" s="62"/>
      <c r="E47" s="93"/>
      <c r="F47" s="93"/>
      <c r="G47" s="92"/>
      <c r="H47" s="92"/>
      <c r="I47" s="92"/>
      <c r="J47" s="62"/>
      <c r="K47" s="185"/>
      <c r="L47" s="62"/>
    </row>
    <row r="48" spans="2:13" x14ac:dyDescent="0.15">
      <c r="J48" s="103"/>
      <c r="K48" s="177"/>
      <c r="L48" s="175"/>
    </row>
  </sheetData>
  <mergeCells count="10">
    <mergeCell ref="B7:B45"/>
    <mergeCell ref="M7:M45"/>
    <mergeCell ref="C46:L46"/>
    <mergeCell ref="I7:J7"/>
    <mergeCell ref="K7:L7"/>
    <mergeCell ref="D7:D9"/>
    <mergeCell ref="E2:G2"/>
    <mergeCell ref="E7:F7"/>
    <mergeCell ref="G7:H7"/>
    <mergeCell ref="C6:L6"/>
  </mergeCells>
  <phoneticPr fontId="48" type="noConversion"/>
  <pageMargins left="0.70866141732283472" right="0.70866141732283472" top="0.74803149606299213" bottom="0.74803149606299213" header="0.31496062992125984" footer="0.31496062992125984"/>
  <pageSetup paperSize="9" scale="70" orientation="portrait" r:id="rId1"/>
  <headerFooter>
    <oddFooter>&amp;Cעמוד 7</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sheetPr>
  <dimension ref="B1:K67"/>
  <sheetViews>
    <sheetView rightToLeft="1" view="pageBreakPreview" zoomScaleSheetLayoutView="100" workbookViewId="0">
      <selection activeCell="C7" activeCellId="4" sqref="C65 B8:B63 C64:J64 K8:K63 C7:J7"/>
    </sheetView>
  </sheetViews>
  <sheetFormatPr baseColWidth="10" defaultColWidth="8.83203125" defaultRowHeight="13" x14ac:dyDescent="0.15"/>
  <cols>
    <col min="3" max="3" width="8.5" customWidth="1"/>
    <col min="4" max="4" width="18.1640625" bestFit="1" customWidth="1"/>
    <col min="5" max="7" width="8.83203125" bestFit="1" customWidth="1"/>
    <col min="8" max="10" width="8" bestFit="1" customWidth="1"/>
  </cols>
  <sheetData>
    <row r="1" spans="2:11" ht="15" thickBot="1" x14ac:dyDescent="0.2">
      <c r="F1" s="106" t="s">
        <v>1334</v>
      </c>
      <c r="H1" s="105"/>
    </row>
    <row r="2" spans="2:11" ht="16" thickTop="1" thickBot="1" x14ac:dyDescent="0.2">
      <c r="E2" s="357" t="s">
        <v>2073</v>
      </c>
      <c r="F2" s="357"/>
      <c r="G2" s="357"/>
      <c r="H2" s="107"/>
    </row>
    <row r="3" spans="2:11" ht="15" thickTop="1" x14ac:dyDescent="0.15">
      <c r="E3" s="108"/>
      <c r="F3" s="108"/>
      <c r="G3" s="108"/>
      <c r="H3" s="107"/>
    </row>
    <row r="4" spans="2:11" ht="15" customHeight="1" thickBot="1" x14ac:dyDescent="0.25">
      <c r="D4" s="358" t="s">
        <v>1336</v>
      </c>
      <c r="E4" s="358"/>
      <c r="F4" s="358"/>
      <c r="G4" s="358"/>
      <c r="H4" s="358"/>
      <c r="I4" s="358"/>
    </row>
    <row r="5" spans="2:11" ht="15" customHeight="1" thickTop="1" thickBot="1" x14ac:dyDescent="0.25">
      <c r="D5" s="109"/>
      <c r="E5" s="109"/>
      <c r="F5" s="110" t="s">
        <v>1337</v>
      </c>
      <c r="G5" s="109"/>
      <c r="H5" s="109"/>
      <c r="I5" s="109"/>
    </row>
    <row r="6" spans="2:11" ht="15" thickTop="1" x14ac:dyDescent="0.15">
      <c r="E6" s="108"/>
      <c r="F6" s="108"/>
      <c r="G6" s="108"/>
      <c r="H6" s="107"/>
    </row>
    <row r="7" spans="2:11" ht="14.25" customHeight="1" thickBot="1" x14ac:dyDescent="0.2">
      <c r="C7" s="381" t="s">
        <v>2193</v>
      </c>
      <c r="D7" s="381"/>
      <c r="E7" s="381"/>
      <c r="F7" s="381"/>
      <c r="G7" s="381"/>
      <c r="H7" s="381"/>
      <c r="I7" s="381"/>
      <c r="J7" s="381"/>
      <c r="K7" s="62"/>
    </row>
    <row r="8" spans="2:11" ht="24.75" customHeight="1" thickBot="1" x14ac:dyDescent="0.2">
      <c r="B8" s="379" t="s">
        <v>2194</v>
      </c>
      <c r="C8" s="63" t="s">
        <v>1274</v>
      </c>
      <c r="D8" s="352" t="s">
        <v>1275</v>
      </c>
      <c r="E8" s="350" t="s">
        <v>269</v>
      </c>
      <c r="F8" s="356"/>
      <c r="G8" s="351" t="s">
        <v>506</v>
      </c>
      <c r="H8" s="350" t="s">
        <v>506</v>
      </c>
      <c r="I8" s="356"/>
      <c r="J8" s="351"/>
      <c r="K8" s="368" t="s">
        <v>2195</v>
      </c>
    </row>
    <row r="9" spans="2:11" ht="14" thickBot="1" x14ac:dyDescent="0.2">
      <c r="B9" s="379"/>
      <c r="C9" s="64"/>
      <c r="D9" s="353"/>
      <c r="E9" s="65" t="s">
        <v>1276</v>
      </c>
      <c r="F9" s="66" t="s">
        <v>1277</v>
      </c>
      <c r="G9" s="65" t="s">
        <v>1278</v>
      </c>
      <c r="H9" s="65" t="s">
        <v>1276</v>
      </c>
      <c r="I9" s="66" t="s">
        <v>1277</v>
      </c>
      <c r="J9" s="67" t="s">
        <v>1278</v>
      </c>
      <c r="K9" s="368"/>
    </row>
    <row r="10" spans="2:11" ht="14" thickBot="1" x14ac:dyDescent="0.2">
      <c r="B10" s="379"/>
      <c r="C10" s="68"/>
      <c r="D10" s="354"/>
      <c r="E10" s="66">
        <v>2019</v>
      </c>
      <c r="F10" s="66">
        <v>2018</v>
      </c>
      <c r="G10" s="65">
        <v>2017</v>
      </c>
      <c r="H10" s="66">
        <v>2019</v>
      </c>
      <c r="I10" s="66">
        <v>2018</v>
      </c>
      <c r="J10" s="65">
        <v>2017</v>
      </c>
      <c r="K10" s="368"/>
    </row>
    <row r="11" spans="2:11" ht="15" thickBot="1" x14ac:dyDescent="0.2">
      <c r="B11" s="379"/>
      <c r="C11" s="64">
        <v>1</v>
      </c>
      <c r="D11" s="69" t="s">
        <v>1279</v>
      </c>
      <c r="E11" s="70"/>
      <c r="F11" s="70"/>
      <c r="G11" s="71"/>
      <c r="H11" s="70"/>
      <c r="I11" s="70"/>
      <c r="J11" s="70"/>
      <c r="K11" s="368"/>
    </row>
    <row r="12" spans="2:11" x14ac:dyDescent="0.15">
      <c r="B12" s="379"/>
      <c r="C12" s="102" t="s">
        <v>1328</v>
      </c>
      <c r="D12" s="73" t="s">
        <v>1280</v>
      </c>
      <c r="E12" s="74">
        <f>('מפורט סעיפים'!F12+'מפורט סעיפים'!F14+'מפורט סעיפים'!F22+'מפורט סעיפים'!F24)/1000</f>
        <v>191634.64600000001</v>
      </c>
      <c r="F12" s="74">
        <f>('מפורט סעיפים'!H12+'מפורט סעיפים'!H14+'מפורט סעיפים'!H22+'מפורט סעיפים'!H24)/1000</f>
        <v>178412.20986</v>
      </c>
      <c r="G12" s="74">
        <f>('מפורט סעיפים'!J12+'מפורט סעיפים'!J14+'מפורט סעיפים'!J22+'מפורט סעיפים'!J24)/1000</f>
        <v>163159.58289000002</v>
      </c>
      <c r="H12" s="74"/>
      <c r="I12" s="74"/>
      <c r="J12" s="75"/>
      <c r="K12" s="368"/>
    </row>
    <row r="13" spans="2:11" x14ac:dyDescent="0.15">
      <c r="B13" s="379"/>
      <c r="C13" s="72">
        <v>19</v>
      </c>
      <c r="D13" s="73" t="s">
        <v>1281</v>
      </c>
      <c r="E13" s="76">
        <f>'מפורט סעיפים'!F27/1000</f>
        <v>58056</v>
      </c>
      <c r="F13" s="76">
        <f>'מפורט סעיפים'!H27/1000</f>
        <v>56037.887999999999</v>
      </c>
      <c r="G13" s="77">
        <f>'מפורט סעיפים'!J27/1000</f>
        <v>58531.771999999997</v>
      </c>
      <c r="H13" s="76"/>
      <c r="I13" s="76"/>
      <c r="J13" s="78"/>
      <c r="K13" s="368"/>
    </row>
    <row r="14" spans="2:11" x14ac:dyDescent="0.15">
      <c r="B14" s="379"/>
      <c r="C14" s="72"/>
      <c r="D14" s="73"/>
      <c r="E14" s="76"/>
      <c r="F14" s="76" t="s">
        <v>1282</v>
      </c>
      <c r="G14" s="77"/>
      <c r="H14" s="76"/>
      <c r="I14" s="76"/>
      <c r="J14" s="78"/>
      <c r="K14" s="368"/>
    </row>
    <row r="15" spans="2:11" x14ac:dyDescent="0.15">
      <c r="B15" s="379"/>
      <c r="C15" s="72"/>
      <c r="D15" s="79" t="s">
        <v>1283</v>
      </c>
      <c r="E15" s="80">
        <f>SUM(E12:E13)</f>
        <v>249690.64600000001</v>
      </c>
      <c r="F15" s="80">
        <f>SUM(F12:F13)</f>
        <v>234450.09786000001</v>
      </c>
      <c r="G15" s="80">
        <f>SUM(G12:G13)</f>
        <v>221691.35489000002</v>
      </c>
      <c r="H15" s="80"/>
      <c r="I15" s="80"/>
      <c r="J15" s="78"/>
      <c r="K15" s="368"/>
    </row>
    <row r="16" spans="2:11" x14ac:dyDescent="0.15">
      <c r="B16" s="379"/>
      <c r="C16" s="72"/>
      <c r="D16" s="73"/>
      <c r="E16" s="81"/>
      <c r="F16" s="81"/>
      <c r="G16" s="77"/>
      <c r="H16" s="81"/>
      <c r="I16" s="81"/>
      <c r="J16" s="78"/>
      <c r="K16" s="368"/>
    </row>
    <row r="17" spans="2:11" x14ac:dyDescent="0.15">
      <c r="B17" s="379"/>
      <c r="C17" s="72">
        <v>6</v>
      </c>
      <c r="D17" s="79" t="s">
        <v>1284</v>
      </c>
      <c r="E17" s="81"/>
      <c r="F17" s="81"/>
      <c r="G17" s="82"/>
      <c r="H17" s="81"/>
      <c r="I17" s="81"/>
      <c r="J17" s="78"/>
      <c r="K17" s="368"/>
    </row>
    <row r="18" spans="2:11" x14ac:dyDescent="0.15">
      <c r="B18" s="379"/>
      <c r="C18" s="72">
        <v>61</v>
      </c>
      <c r="D18" s="73" t="s">
        <v>1285</v>
      </c>
      <c r="E18" s="76"/>
      <c r="F18" s="76"/>
      <c r="G18" s="82"/>
      <c r="H18" s="76">
        <f>'מפורט סעיפים'!F451/1000</f>
        <v>14139.7744</v>
      </c>
      <c r="I18" s="76">
        <f>'מפורט סעיפים'!H451/1000</f>
        <v>16129.0836</v>
      </c>
      <c r="J18" s="83">
        <f>'מפורט סעיפים'!J451/1000</f>
        <v>14263.323610000003</v>
      </c>
      <c r="K18" s="368"/>
    </row>
    <row r="19" spans="2:11" x14ac:dyDescent="0.15">
      <c r="B19" s="379"/>
      <c r="C19" s="72">
        <v>62</v>
      </c>
      <c r="D19" s="73" t="s">
        <v>1286</v>
      </c>
      <c r="E19" s="76"/>
      <c r="F19" s="76"/>
      <c r="G19" s="82"/>
      <c r="H19" s="76">
        <f>'מפורט סעיפים'!F507/1000</f>
        <v>13016.537399999999</v>
      </c>
      <c r="I19" s="76">
        <f>'מפורט סעיפים'!H507/1000</f>
        <v>12162.341910000001</v>
      </c>
      <c r="J19" s="83">
        <f>'מפורט סעיפים'!J507/1000</f>
        <v>12017.221189999998</v>
      </c>
      <c r="K19" s="368"/>
    </row>
    <row r="20" spans="2:11" x14ac:dyDescent="0.15">
      <c r="B20" s="379"/>
      <c r="C20" s="72">
        <v>63</v>
      </c>
      <c r="D20" s="73" t="s">
        <v>1068</v>
      </c>
      <c r="E20" s="76"/>
      <c r="F20" s="76"/>
      <c r="G20" s="82"/>
      <c r="H20" s="76">
        <f>'מפורט סעיפים'!F512/1000</f>
        <v>2028</v>
      </c>
      <c r="I20" s="76">
        <f>'מפורט סעיפים'!H512/1000</f>
        <v>2126.6666700000001</v>
      </c>
      <c r="J20" s="83">
        <f>'מפורט סעיפים'!J512/1000</f>
        <v>2115.52837</v>
      </c>
      <c r="K20" s="368"/>
    </row>
    <row r="21" spans="2:11" x14ac:dyDescent="0.15">
      <c r="B21" s="379"/>
      <c r="C21" s="72">
        <v>64</v>
      </c>
      <c r="D21" s="73" t="s">
        <v>1057</v>
      </c>
      <c r="E21" s="76"/>
      <c r="F21" s="76"/>
      <c r="G21" s="82"/>
      <c r="H21" s="76">
        <f>'מפורט סעיפים'!F522/1000</f>
        <v>13602.429</v>
      </c>
      <c r="I21" s="76">
        <f>'מפורט סעיפים'!H522/1000</f>
        <v>11508.619460000002</v>
      </c>
      <c r="J21" s="83">
        <f>'מפורט סעיפים'!J522/1000</f>
        <v>10953.263370000001</v>
      </c>
      <c r="K21" s="368"/>
    </row>
    <row r="22" spans="2:11" x14ac:dyDescent="0.15">
      <c r="B22" s="379"/>
      <c r="C22" s="72"/>
      <c r="D22" s="79" t="s">
        <v>1283</v>
      </c>
      <c r="E22" s="80">
        <f t="shared" ref="E22:J22" si="0">SUM(E18:E21)</f>
        <v>0</v>
      </c>
      <c r="F22" s="80">
        <f t="shared" si="0"/>
        <v>0</v>
      </c>
      <c r="G22" s="80">
        <f t="shared" si="0"/>
        <v>0</v>
      </c>
      <c r="H22" s="80">
        <f t="shared" si="0"/>
        <v>42786.7408</v>
      </c>
      <c r="I22" s="80">
        <f t="shared" si="0"/>
        <v>41926.711640000001</v>
      </c>
      <c r="J22" s="94">
        <f t="shared" si="0"/>
        <v>39349.336540000004</v>
      </c>
      <c r="K22" s="368"/>
    </row>
    <row r="23" spans="2:11" x14ac:dyDescent="0.15">
      <c r="B23" s="379"/>
      <c r="C23" s="72"/>
      <c r="D23" s="73"/>
      <c r="E23" s="76"/>
      <c r="F23" s="76"/>
      <c r="G23" s="82"/>
      <c r="H23" s="76"/>
      <c r="I23" s="76"/>
      <c r="J23" s="83"/>
      <c r="K23" s="368"/>
    </row>
    <row r="24" spans="2:11" x14ac:dyDescent="0.15">
      <c r="B24" s="379"/>
      <c r="C24" s="72"/>
      <c r="D24" s="73"/>
      <c r="E24" s="81"/>
      <c r="F24" s="81"/>
      <c r="G24" s="82"/>
      <c r="H24" s="81"/>
      <c r="I24" s="81"/>
      <c r="J24" s="78"/>
      <c r="K24" s="368"/>
    </row>
    <row r="25" spans="2:11" x14ac:dyDescent="0.15">
      <c r="B25" s="379"/>
      <c r="C25" s="72"/>
      <c r="D25" s="79" t="s">
        <v>1287</v>
      </c>
      <c r="E25" s="81"/>
      <c r="F25" s="81"/>
      <c r="G25" s="82"/>
      <c r="H25" s="81"/>
      <c r="I25" s="81"/>
      <c r="J25" s="78"/>
      <c r="K25" s="368"/>
    </row>
    <row r="26" spans="2:11" x14ac:dyDescent="0.15">
      <c r="B26" s="379"/>
      <c r="C26" s="72" t="s">
        <v>1288</v>
      </c>
      <c r="D26" s="73" t="s">
        <v>1289</v>
      </c>
      <c r="E26" s="76">
        <f>'מפורט סעיפים'!F41/1000</f>
        <v>2007.6</v>
      </c>
      <c r="F26" s="76">
        <f>'מפורט סעיפים'!H41/1000</f>
        <v>1745.9037300000002</v>
      </c>
      <c r="G26" s="77">
        <f>'מפורט סעיפים'!J41/1000</f>
        <v>1588.50253</v>
      </c>
      <c r="H26" s="76">
        <f>'מפורט סעיפים'!F620/1000</f>
        <v>38634.835649426001</v>
      </c>
      <c r="I26" s="76">
        <f>'מפורט סעיפים'!H620/1000</f>
        <v>37713.869610000009</v>
      </c>
      <c r="J26" s="83">
        <f>'מפורט סעיפים'!J620/1000</f>
        <v>34895.797900000005</v>
      </c>
      <c r="K26" s="368"/>
    </row>
    <row r="27" spans="2:11" x14ac:dyDescent="0.15">
      <c r="B27" s="379"/>
      <c r="C27" s="72" t="s">
        <v>1290</v>
      </c>
      <c r="D27" s="73" t="s">
        <v>1291</v>
      </c>
      <c r="E27" s="76">
        <f>'מפורט סעיפים'!F50/1000</f>
        <v>4592.12</v>
      </c>
      <c r="F27" s="76">
        <f>'מפורט סעיפים'!H50/1000</f>
        <v>4468.5910000000003</v>
      </c>
      <c r="G27" s="77">
        <f>'מפורט סעיפים'!J50/1000</f>
        <v>3680.6094600000001</v>
      </c>
      <c r="H27" s="76">
        <f>'מפורט סעיפים'!F660/1000</f>
        <v>5544.5064000000002</v>
      </c>
      <c r="I27" s="76">
        <f>'מפורט סעיפים'!H660/1000</f>
        <v>5452.8373300000003</v>
      </c>
      <c r="J27" s="83">
        <f>'מפורט סעיפים'!J660/1000</f>
        <v>8892.1125999999986</v>
      </c>
      <c r="K27" s="368"/>
    </row>
    <row r="28" spans="2:11" x14ac:dyDescent="0.15">
      <c r="B28" s="379"/>
      <c r="C28" s="72" t="s">
        <v>1292</v>
      </c>
      <c r="D28" s="73" t="s">
        <v>1293</v>
      </c>
      <c r="E28" s="76">
        <f>'מפורט סעיפים'!F60/1000</f>
        <v>10778.968000000001</v>
      </c>
      <c r="F28" s="76">
        <f>'מפורט סעיפים'!H60/1000</f>
        <v>17906.055869999997</v>
      </c>
      <c r="G28" s="77">
        <f>'מפורט סעיפים'!J60/1000</f>
        <v>3587.6889300000003</v>
      </c>
      <c r="H28" s="76">
        <f>'מפורט סעיפים'!F700/1000</f>
        <v>6140.8630000000003</v>
      </c>
      <c r="I28" s="76">
        <f>'מפורט סעיפים'!H700/1000</f>
        <v>6430.8410000000003</v>
      </c>
      <c r="J28" s="83">
        <f>'מפורט סעיפים'!J700/1000</f>
        <v>9927.8316100000011</v>
      </c>
      <c r="K28" s="368"/>
    </row>
    <row r="29" spans="2:11" x14ac:dyDescent="0.15">
      <c r="B29" s="379"/>
      <c r="C29" s="72" t="s">
        <v>1294</v>
      </c>
      <c r="D29" s="73" t="s">
        <v>1295</v>
      </c>
      <c r="E29" s="76">
        <f>'מפורט סעיפים'!F62/1000</f>
        <v>153</v>
      </c>
      <c r="F29" s="76">
        <f>'מפורט סעיפים'!H62/1000</f>
        <v>100</v>
      </c>
      <c r="G29" s="77">
        <f>'מפורט סעיפים'!J62/1000</f>
        <v>113.8329</v>
      </c>
      <c r="H29" s="76">
        <f>'מפורט סעיפים'!F780/1000</f>
        <v>25135.7153</v>
      </c>
      <c r="I29" s="76">
        <f>'מפורט סעיפים'!H780/1000</f>
        <v>25264.443919999998</v>
      </c>
      <c r="J29" s="83">
        <f>'מפורט סעיפים'!J780/1000</f>
        <v>20377.077389999995</v>
      </c>
      <c r="K29" s="368"/>
    </row>
    <row r="30" spans="2:11" x14ac:dyDescent="0.15">
      <c r="B30" s="379"/>
      <c r="C30" s="72" t="s">
        <v>1296</v>
      </c>
      <c r="D30" s="73" t="s">
        <v>1297</v>
      </c>
      <c r="E30" s="76">
        <f>'מפורט סעיפים'!F65/1000</f>
        <v>440</v>
      </c>
      <c r="F30" s="76">
        <f>'מפורט סעיפים'!H65/1000</f>
        <v>800</v>
      </c>
      <c r="G30" s="77"/>
      <c r="H30" s="76">
        <f>'מפורט סעיפים'!F800/1000</f>
        <v>6305.1949999999997</v>
      </c>
      <c r="I30" s="76">
        <f>'מפורט סעיפים'!H800/1000</f>
        <v>7237.1210000000001</v>
      </c>
      <c r="J30" s="83">
        <f>'מפורט סעיפים'!J800/1000</f>
        <v>3299.3894799999994</v>
      </c>
      <c r="K30" s="368"/>
    </row>
    <row r="31" spans="2:11" x14ac:dyDescent="0.15">
      <c r="B31" s="379"/>
      <c r="C31" s="72" t="s">
        <v>1298</v>
      </c>
      <c r="D31" s="73" t="s">
        <v>1299</v>
      </c>
      <c r="E31" s="76">
        <f>'מפורט סעיפים'!F72/1000</f>
        <v>615</v>
      </c>
      <c r="F31" s="76">
        <f>'מפורט סעיפים'!H72/1000</f>
        <v>734.68</v>
      </c>
      <c r="G31" s="77">
        <f>'מפורט סעיפים'!J72/1000</f>
        <v>691.73007999999993</v>
      </c>
      <c r="H31" s="76">
        <f>'מפורט סעיפים'!F823/1000</f>
        <v>3655.4502000000002</v>
      </c>
      <c r="I31" s="76">
        <f>'מפורט סעיפים'!H823/1000</f>
        <v>4164.7518700000001</v>
      </c>
      <c r="J31" s="83">
        <f>'מפורט סעיפים'!J823/1000</f>
        <v>3467.9974200000001</v>
      </c>
      <c r="K31" s="368"/>
    </row>
    <row r="32" spans="2:11" x14ac:dyDescent="0.15">
      <c r="B32" s="379"/>
      <c r="C32" s="72" t="s">
        <v>1300</v>
      </c>
      <c r="D32" s="73" t="s">
        <v>1301</v>
      </c>
      <c r="E32" s="76">
        <f>'מפורט סעיפים'!F76/1000</f>
        <v>700</v>
      </c>
      <c r="F32" s="76">
        <f>'מפורט סעיפים'!H76/1000</f>
        <v>530</v>
      </c>
      <c r="G32" s="77">
        <f>'מפורט סעיפים'!J76/1000</f>
        <v>558.69109000000003</v>
      </c>
      <c r="H32" s="76">
        <f>'מפורט סעיפים'!F869/1000</f>
        <v>5080.4664000000002</v>
      </c>
      <c r="I32" s="76">
        <f>'מפורט סעיפים'!H869/1000</f>
        <v>5865.4665800000002</v>
      </c>
      <c r="J32" s="83">
        <f>'מפורט סעיפים'!J869/1000</f>
        <v>4223.2377299999998</v>
      </c>
      <c r="K32" s="368"/>
    </row>
    <row r="33" spans="2:11" x14ac:dyDescent="0.15">
      <c r="B33" s="379"/>
      <c r="C33" s="72" t="s">
        <v>1302</v>
      </c>
      <c r="D33" s="73" t="s">
        <v>1303</v>
      </c>
      <c r="E33" s="76"/>
      <c r="F33" s="76"/>
      <c r="G33" s="82"/>
      <c r="H33" s="76">
        <f>'מפורט סעיפים'!F834/1000</f>
        <v>216.0264</v>
      </c>
      <c r="I33" s="76">
        <f>'מפורט סעיפים'!H834/1000</f>
        <v>426.762</v>
      </c>
      <c r="J33" s="83">
        <f>'מפורט סעיפים'!J834/1000</f>
        <v>527.91710000000012</v>
      </c>
      <c r="K33" s="368"/>
    </row>
    <row r="34" spans="2:11" x14ac:dyDescent="0.15">
      <c r="B34" s="379"/>
      <c r="C34" s="72"/>
      <c r="D34" s="79" t="s">
        <v>1283</v>
      </c>
      <c r="E34" s="80">
        <f t="shared" ref="E34:J34" si="1">SUM(E26:E33)</f>
        <v>19286.688000000002</v>
      </c>
      <c r="F34" s="80">
        <f t="shared" si="1"/>
        <v>26285.230599999995</v>
      </c>
      <c r="G34" s="80">
        <f t="shared" si="1"/>
        <v>10221.054990000001</v>
      </c>
      <c r="H34" s="80">
        <f t="shared" si="1"/>
        <v>90713.058349426006</v>
      </c>
      <c r="I34" s="80">
        <f t="shared" si="1"/>
        <v>92556.093310000011</v>
      </c>
      <c r="J34" s="94">
        <f t="shared" si="1"/>
        <v>85611.361229999995</v>
      </c>
      <c r="K34" s="368"/>
    </row>
    <row r="35" spans="2:11" x14ac:dyDescent="0.15">
      <c r="B35" s="379"/>
      <c r="C35" s="72"/>
      <c r="D35" s="73"/>
      <c r="E35" s="76"/>
      <c r="F35" s="76"/>
      <c r="G35" s="77"/>
      <c r="H35" s="76"/>
      <c r="I35" s="76"/>
      <c r="J35" s="83"/>
      <c r="K35" s="368"/>
    </row>
    <row r="36" spans="2:11" x14ac:dyDescent="0.15">
      <c r="B36" s="379"/>
      <c r="C36" s="72"/>
      <c r="D36" s="73"/>
      <c r="E36" s="81"/>
      <c r="F36" s="81"/>
      <c r="G36" s="77"/>
      <c r="H36" s="81"/>
      <c r="I36" s="81"/>
      <c r="J36" s="78"/>
      <c r="K36" s="368"/>
    </row>
    <row r="37" spans="2:11" x14ac:dyDescent="0.15">
      <c r="B37" s="379"/>
      <c r="C37" s="72"/>
      <c r="D37" s="79" t="s">
        <v>1304</v>
      </c>
      <c r="E37" s="81"/>
      <c r="F37" s="81"/>
      <c r="G37" s="82"/>
      <c r="H37" s="81"/>
      <c r="I37" s="81"/>
      <c r="J37" s="78"/>
      <c r="K37" s="368"/>
    </row>
    <row r="38" spans="2:11" x14ac:dyDescent="0.15">
      <c r="B38" s="379"/>
      <c r="C38" s="72"/>
      <c r="D38" s="73"/>
      <c r="E38" s="95"/>
      <c r="F38" s="76"/>
      <c r="G38" s="77"/>
      <c r="H38" s="76" t="s">
        <v>1282</v>
      </c>
      <c r="I38" s="76" t="s">
        <v>1282</v>
      </c>
      <c r="J38" s="83" t="s">
        <v>1282</v>
      </c>
      <c r="K38" s="368"/>
    </row>
    <row r="39" spans="2:11" x14ac:dyDescent="0.15">
      <c r="B39" s="379"/>
      <c r="C39" s="72" t="s">
        <v>1305</v>
      </c>
      <c r="D39" s="73" t="s">
        <v>916</v>
      </c>
      <c r="E39" s="76">
        <f>'מפורט סעיפים'!F138/1000</f>
        <v>104799.477</v>
      </c>
      <c r="F39" s="76">
        <f>'מפורט סעיפים'!H138/1000</f>
        <v>101709.626</v>
      </c>
      <c r="G39" s="77">
        <f>'מפורט סעיפים'!J138/1000</f>
        <v>101877.00848999996</v>
      </c>
      <c r="H39" s="76">
        <f>'מפורט סעיפים'!F1015/1000</f>
        <v>138052.07019999999</v>
      </c>
      <c r="I39" s="76">
        <f>'מפורט סעיפים'!H1015/1000</f>
        <v>132557.05241999999</v>
      </c>
      <c r="J39" s="83">
        <f>'מפורט סעיפים'!J1015/1000</f>
        <v>125689.30451999993</v>
      </c>
      <c r="K39" s="368"/>
    </row>
    <row r="40" spans="2:11" x14ac:dyDescent="0.15">
      <c r="B40" s="379"/>
      <c r="C40" s="72" t="s">
        <v>1306</v>
      </c>
      <c r="D40" s="73" t="s">
        <v>1307</v>
      </c>
      <c r="E40" s="76">
        <f>'מפורט סעיפים'!F155/1000</f>
        <v>5686</v>
      </c>
      <c r="F40" s="76">
        <f>'מפורט סעיפים'!H155/1000</f>
        <v>5533.4170000000004</v>
      </c>
      <c r="G40" s="77">
        <f>'מפורט סעיפים'!J155/1000+'מפורט סעיפים'!J307/1000</f>
        <v>5315.8087299999997</v>
      </c>
      <c r="H40" s="76">
        <f>'מפורט סעיפים'!F1097/1000</f>
        <v>21404.412800000002</v>
      </c>
      <c r="I40" s="76">
        <f>'מפורט סעיפים'!H1097/1000</f>
        <v>22222.42453</v>
      </c>
      <c r="J40" s="83">
        <f>'מפורט סעיפים'!J1097/1000</f>
        <v>20952.174720000003</v>
      </c>
      <c r="K40" s="368"/>
    </row>
    <row r="41" spans="2:11" x14ac:dyDescent="0.15">
      <c r="B41" s="379"/>
      <c r="C41" s="72" t="s">
        <v>1308</v>
      </c>
      <c r="D41" s="73" t="s">
        <v>1309</v>
      </c>
      <c r="E41" s="76"/>
      <c r="F41" s="76"/>
      <c r="G41" s="77"/>
      <c r="H41" s="76">
        <f>'מפורט סעיפים'!F1099/1000</f>
        <v>180</v>
      </c>
      <c r="I41" s="76">
        <f>'מפורט סעיפים'!H1099/1000</f>
        <v>180</v>
      </c>
      <c r="J41" s="83">
        <f>'מפורט סעיפים'!J1099/1000</f>
        <v>180</v>
      </c>
      <c r="K41" s="368"/>
    </row>
    <row r="42" spans="2:11" x14ac:dyDescent="0.15">
      <c r="B42" s="379"/>
      <c r="C42" s="72" t="s">
        <v>1310</v>
      </c>
      <c r="D42" s="73" t="s">
        <v>1008</v>
      </c>
      <c r="E42" s="76">
        <f>'מפורט סעיפים'!F303/1000</f>
        <v>48646.002999999997</v>
      </c>
      <c r="F42" s="76">
        <f>'מפורט סעיפים'!H303/1000</f>
        <v>45385.991109999995</v>
      </c>
      <c r="G42" s="77">
        <f>'מפורט סעיפים'!J303/1000</f>
        <v>43860.009290000002</v>
      </c>
      <c r="H42" s="76">
        <f>'מפורט סעיפים'!F1279/1000</f>
        <v>68798.794999999998</v>
      </c>
      <c r="I42" s="76">
        <f>'מפורט סעיפים'!H1279/1000</f>
        <v>65247.068360000012</v>
      </c>
      <c r="J42" s="83">
        <f>'מפורט סעיפים'!J1279/1000</f>
        <v>60239.424630000001</v>
      </c>
      <c r="K42" s="368"/>
    </row>
    <row r="43" spans="2:11" x14ac:dyDescent="0.15">
      <c r="B43" s="379"/>
      <c r="C43" s="72" t="s">
        <v>1311</v>
      </c>
      <c r="D43" s="73" t="s">
        <v>1312</v>
      </c>
      <c r="E43" s="76"/>
      <c r="F43" s="76"/>
      <c r="G43" s="82"/>
      <c r="H43" s="76">
        <f>'מפורט סעיפים'!F1286/1000</f>
        <v>2037.442</v>
      </c>
      <c r="I43" s="76">
        <f>'מפורט סעיפים'!H1286/1000</f>
        <v>1935.5260000000001</v>
      </c>
      <c r="J43" s="83">
        <f>'מפורט סעיפים'!J1286/1000</f>
        <v>1991.6236799999999</v>
      </c>
      <c r="K43" s="368"/>
    </row>
    <row r="44" spans="2:11" x14ac:dyDescent="0.15">
      <c r="B44" s="379"/>
      <c r="C44" s="72" t="s">
        <v>1313</v>
      </c>
      <c r="D44" s="73" t="s">
        <v>1314</v>
      </c>
      <c r="E44" s="76">
        <f>'מפורט סעיפים'!F305/1000</f>
        <v>80</v>
      </c>
      <c r="F44" s="76">
        <f>'מפורט סעיפים'!H305/1000</f>
        <v>30</v>
      </c>
      <c r="G44" s="77">
        <f>'מפורט סעיפים'!J305/1000</f>
        <v>72.385000000000005</v>
      </c>
      <c r="H44" s="76">
        <f>'מפורט סעיפים'!F1297/1000</f>
        <v>1489.5237999999999</v>
      </c>
      <c r="I44" s="76">
        <f>'מפורט סעיפים'!H1297/1000</f>
        <v>1343.144</v>
      </c>
      <c r="J44" s="83">
        <f>'מפורט סעיפים'!J1297/1000</f>
        <v>1117.9816400000002</v>
      </c>
      <c r="K44" s="368"/>
    </row>
    <row r="45" spans="2:11" x14ac:dyDescent="0.15">
      <c r="B45" s="379"/>
      <c r="C45" s="72" t="s">
        <v>1315</v>
      </c>
      <c r="D45" s="73" t="s">
        <v>1316</v>
      </c>
      <c r="E45" s="76"/>
      <c r="F45" s="76"/>
      <c r="G45" s="82"/>
      <c r="H45" s="76">
        <f>'מפורט סעיפים'!F1299/1000</f>
        <v>188.82499999999999</v>
      </c>
      <c r="I45" s="76">
        <f>'מפורט סעיפים'!H1299/1000</f>
        <v>161.85</v>
      </c>
      <c r="J45" s="83">
        <f>'מפורט סעיפים'!J1299/1000</f>
        <v>162.15</v>
      </c>
      <c r="K45" s="368"/>
    </row>
    <row r="46" spans="2:11" x14ac:dyDescent="0.15">
      <c r="B46" s="379"/>
      <c r="C46" s="72"/>
      <c r="D46" s="79" t="s">
        <v>1283</v>
      </c>
      <c r="E46" s="80">
        <f t="shared" ref="E46:J46" si="2">SUM(E39:E45)</f>
        <v>159211.47999999998</v>
      </c>
      <c r="F46" s="80">
        <f t="shared" si="2"/>
        <v>152659.03411000001</v>
      </c>
      <c r="G46" s="80">
        <f t="shared" si="2"/>
        <v>151125.21150999999</v>
      </c>
      <c r="H46" s="80">
        <f t="shared" si="2"/>
        <v>232151.06880000001</v>
      </c>
      <c r="I46" s="80">
        <f t="shared" si="2"/>
        <v>223647.06531000001</v>
      </c>
      <c r="J46" s="94">
        <f t="shared" si="2"/>
        <v>210332.65918999992</v>
      </c>
      <c r="K46" s="368"/>
    </row>
    <row r="47" spans="2:11" x14ac:dyDescent="0.15">
      <c r="B47" s="379"/>
      <c r="C47" s="72"/>
      <c r="D47" s="73"/>
      <c r="E47" s="76"/>
      <c r="F47" s="76"/>
      <c r="G47" s="84"/>
      <c r="H47" s="80"/>
      <c r="I47" s="80"/>
      <c r="J47" s="94"/>
      <c r="K47" s="368"/>
    </row>
    <row r="48" spans="2:11" x14ac:dyDescent="0.15">
      <c r="B48" s="379"/>
      <c r="C48" s="72"/>
      <c r="D48" s="73"/>
      <c r="E48" s="81"/>
      <c r="F48" s="81"/>
      <c r="G48" s="82"/>
      <c r="H48" s="81"/>
      <c r="I48" s="81"/>
      <c r="J48" s="78"/>
      <c r="K48" s="368"/>
    </row>
    <row r="49" spans="2:11" x14ac:dyDescent="0.15">
      <c r="B49" s="379"/>
      <c r="C49" s="72"/>
      <c r="D49" s="79" t="s">
        <v>1317</v>
      </c>
      <c r="E49" s="81"/>
      <c r="F49" s="81"/>
      <c r="G49" s="82"/>
      <c r="H49" s="81"/>
      <c r="I49" s="81"/>
      <c r="J49" s="78"/>
      <c r="K49" s="368"/>
    </row>
    <row r="50" spans="2:11" x14ac:dyDescent="0.15">
      <c r="B50" s="379"/>
      <c r="C50" s="72" t="s">
        <v>1318</v>
      </c>
      <c r="D50" s="73" t="s">
        <v>1137</v>
      </c>
      <c r="E50" s="76">
        <f>'מפורט סעיפים'!F316/1000</f>
        <v>358.82499999999999</v>
      </c>
      <c r="F50" s="76">
        <f>'מפורט סעיפים'!H316/1000</f>
        <v>424</v>
      </c>
      <c r="G50" s="77">
        <f>'מפורט סעיפים'!J316/1000</f>
        <v>965.79531000000009</v>
      </c>
      <c r="H50" s="76">
        <f>'מפורט סעיפים'!F1303/1000</f>
        <v>0</v>
      </c>
      <c r="I50" s="76">
        <f>'מפורט סעיפים'!H1303/1000</f>
        <v>0</v>
      </c>
      <c r="J50" s="83">
        <f>'מפורט סעיפים'!J1303/1000</f>
        <v>398.48000999999994</v>
      </c>
      <c r="K50" s="368"/>
    </row>
    <row r="51" spans="2:11" x14ac:dyDescent="0.15">
      <c r="B51" s="379"/>
      <c r="C51" s="72" t="s">
        <v>1319</v>
      </c>
      <c r="D51" s="73" t="s">
        <v>1320</v>
      </c>
      <c r="E51" s="76">
        <f>'מפורט סעיפים'!F325/1000</f>
        <v>2959.2220000000002</v>
      </c>
      <c r="F51" s="76">
        <f>'מפורט סעיפים'!H325/1000</f>
        <v>2482.3319999999999</v>
      </c>
      <c r="G51" s="77">
        <f>'מפורט סעיפים'!J325/1000</f>
        <v>2783.0758300000002</v>
      </c>
      <c r="H51" s="76">
        <f>'מפורט סעיפים'!F1377/1000</f>
        <v>7669.2595999999994</v>
      </c>
      <c r="I51" s="76">
        <f>'מפורט סעיפים'!H1377/1000</f>
        <v>8049.9093100000009</v>
      </c>
      <c r="J51" s="83">
        <f>'מפורט סעיפים'!J1377/1000</f>
        <v>7722.8832100000009</v>
      </c>
      <c r="K51" s="368"/>
    </row>
    <row r="52" spans="2:11" x14ac:dyDescent="0.15">
      <c r="B52" s="379"/>
      <c r="C52" s="72" t="s">
        <v>1321</v>
      </c>
      <c r="D52" s="73" t="s">
        <v>1322</v>
      </c>
      <c r="E52" s="76">
        <f>'מפורט סעיפים'!F340/1000</f>
        <v>100</v>
      </c>
      <c r="F52" s="76">
        <f>'מפורט סעיפים'!H340/1000</f>
        <v>120</v>
      </c>
      <c r="G52" s="77">
        <f>'מפורט סעיפים'!J340/1000</f>
        <v>2310.0794899999996</v>
      </c>
      <c r="H52" s="76">
        <f>'מפורט סעיפים'!F1380/1000</f>
        <v>104.14</v>
      </c>
      <c r="I52" s="76">
        <f>'מפורט סעיפים'!H1380/1000</f>
        <v>114.62</v>
      </c>
      <c r="J52" s="83">
        <f>'מפורט סעיפים'!J1380/1000</f>
        <v>110.13795</v>
      </c>
      <c r="K52" s="368"/>
    </row>
    <row r="53" spans="2:11" x14ac:dyDescent="0.15">
      <c r="B53" s="379"/>
      <c r="C53" s="72" t="s">
        <v>1323</v>
      </c>
      <c r="D53" s="73" t="s">
        <v>1324</v>
      </c>
      <c r="E53" s="85">
        <f>'מפורט סעיפים'!F335/1000</f>
        <v>6296.2</v>
      </c>
      <c r="F53" s="85">
        <f>'מפורט סעיפים'!H335/1000</f>
        <v>7242.2910000000002</v>
      </c>
      <c r="G53" s="77">
        <f>'מפורט סעיפים'!J335/1000</f>
        <v>7561.9805900000019</v>
      </c>
      <c r="H53" s="81">
        <f>'מפורט סעיפים'!F1384/1000</f>
        <v>270.57400000000001</v>
      </c>
      <c r="I53" s="81">
        <f>'מפורט סעיפים'!H1384/1000</f>
        <v>280</v>
      </c>
      <c r="J53" s="86">
        <f>'מפורט סעיפים'!J1384/1000</f>
        <v>251.74034</v>
      </c>
      <c r="K53" s="368"/>
    </row>
    <row r="54" spans="2:11" x14ac:dyDescent="0.15">
      <c r="B54" s="379"/>
      <c r="C54" s="72"/>
      <c r="D54" s="79" t="s">
        <v>1283</v>
      </c>
      <c r="E54" s="80">
        <f t="shared" ref="E54:J54" si="3">SUM(E50:E53)</f>
        <v>9714.2469999999994</v>
      </c>
      <c r="F54" s="80">
        <f t="shared" si="3"/>
        <v>10268.623</v>
      </c>
      <c r="G54" s="80">
        <f t="shared" si="3"/>
        <v>13620.931220000002</v>
      </c>
      <c r="H54" s="80">
        <f t="shared" si="3"/>
        <v>8043.9735999999994</v>
      </c>
      <c r="I54" s="80">
        <f t="shared" si="3"/>
        <v>8444.5293100000017</v>
      </c>
      <c r="J54" s="94">
        <f t="shared" si="3"/>
        <v>8483.2415100000017</v>
      </c>
      <c r="K54" s="368"/>
    </row>
    <row r="55" spans="2:11" x14ac:dyDescent="0.15">
      <c r="B55" s="379"/>
      <c r="C55" s="72"/>
      <c r="D55" s="73"/>
      <c r="E55" s="76"/>
      <c r="F55" s="76"/>
      <c r="G55" s="77"/>
      <c r="H55" s="76"/>
      <c r="I55" s="76"/>
      <c r="J55" s="83"/>
      <c r="K55" s="368"/>
    </row>
    <row r="56" spans="2:11" x14ac:dyDescent="0.15">
      <c r="B56" s="379"/>
      <c r="C56" s="72"/>
      <c r="D56" s="73"/>
      <c r="E56" s="81"/>
      <c r="F56" s="81"/>
      <c r="G56" s="82"/>
      <c r="H56" s="81"/>
      <c r="I56" s="81"/>
      <c r="J56" s="78"/>
      <c r="K56" s="368"/>
    </row>
    <row r="57" spans="2:11" x14ac:dyDescent="0.15">
      <c r="B57" s="379"/>
      <c r="C57" s="72"/>
      <c r="D57" s="79" t="s">
        <v>1325</v>
      </c>
      <c r="E57" s="81"/>
      <c r="F57" s="81"/>
      <c r="G57" s="82"/>
      <c r="H57" s="81"/>
      <c r="I57" s="81"/>
      <c r="J57" s="78"/>
      <c r="K57" s="368"/>
    </row>
    <row r="58" spans="2:11" ht="14" x14ac:dyDescent="0.15">
      <c r="B58" s="379"/>
      <c r="C58" s="72" t="s">
        <v>1326</v>
      </c>
      <c r="D58" s="101" t="s">
        <v>1327</v>
      </c>
      <c r="E58" s="76">
        <f>'מפורט סעיפים'!F348/1000</f>
        <v>1000</v>
      </c>
      <c r="F58" s="76">
        <f>'מפורט סעיפים'!H348/1000</f>
        <v>4509.2089999999998</v>
      </c>
      <c r="G58" s="77">
        <f>'מפורט סעיפים'!J348/1000</f>
        <v>8443.0313000000006</v>
      </c>
      <c r="H58" s="76">
        <f>'מפורט סעיפים'!F1392/1000</f>
        <v>65208.218999999997</v>
      </c>
      <c r="I58" s="76">
        <f>'מפורט סעיפים'!H1392/1000</f>
        <v>61597.794999999998</v>
      </c>
      <c r="J58" s="83">
        <f>'מפורט סעיפים'!J1392/1000</f>
        <v>61337.757920000004</v>
      </c>
      <c r="K58" s="368"/>
    </row>
    <row r="59" spans="2:11" ht="17.25" customHeight="1" x14ac:dyDescent="0.15">
      <c r="B59" s="379"/>
      <c r="C59" s="72"/>
      <c r="D59" s="100"/>
      <c r="E59" s="81"/>
      <c r="F59" s="81"/>
      <c r="G59" s="77"/>
      <c r="H59" s="81"/>
      <c r="I59" s="81"/>
      <c r="J59" s="78"/>
      <c r="K59" s="368"/>
    </row>
    <row r="60" spans="2:11" x14ac:dyDescent="0.15">
      <c r="B60" s="379"/>
      <c r="C60" s="72"/>
      <c r="D60" s="73" t="s">
        <v>277</v>
      </c>
      <c r="E60" s="76">
        <f t="shared" ref="E60:J60" si="4">SUM(E58:E59)</f>
        <v>1000</v>
      </c>
      <c r="F60" s="76">
        <f t="shared" si="4"/>
        <v>4509.2089999999998</v>
      </c>
      <c r="G60" s="76">
        <f t="shared" si="4"/>
        <v>8443.0313000000006</v>
      </c>
      <c r="H60" s="76">
        <f t="shared" si="4"/>
        <v>65208.218999999997</v>
      </c>
      <c r="I60" s="76">
        <f t="shared" si="4"/>
        <v>61597.794999999998</v>
      </c>
      <c r="J60" s="96">
        <f t="shared" si="4"/>
        <v>61337.757920000004</v>
      </c>
      <c r="K60" s="368"/>
    </row>
    <row r="61" spans="2:11" x14ac:dyDescent="0.15">
      <c r="B61" s="379"/>
      <c r="C61" s="72"/>
      <c r="D61" s="73"/>
      <c r="E61" s="81"/>
      <c r="F61" s="81"/>
      <c r="G61" s="77"/>
      <c r="H61" s="81"/>
      <c r="I61" s="81"/>
      <c r="J61" s="86"/>
      <c r="K61" s="368"/>
    </row>
    <row r="62" spans="2:11" ht="14" thickBot="1" x14ac:dyDescent="0.2">
      <c r="B62" s="379"/>
      <c r="C62" s="87"/>
      <c r="D62" s="88" t="s">
        <v>1090</v>
      </c>
      <c r="E62" s="89"/>
      <c r="F62" s="89"/>
      <c r="G62" s="90">
        <f>'מפורט סעיפים'!J349/1000</f>
        <v>0</v>
      </c>
      <c r="H62" s="89"/>
      <c r="I62" s="89"/>
      <c r="J62" s="91">
        <f>'מפורט סעיפים'!J1394/1000</f>
        <v>0</v>
      </c>
      <c r="K62" s="368"/>
    </row>
    <row r="63" spans="2:11" ht="14" thickBot="1" x14ac:dyDescent="0.2">
      <c r="B63" s="379"/>
      <c r="C63" s="87"/>
      <c r="D63" s="97" t="s">
        <v>277</v>
      </c>
      <c r="E63" s="98">
        <f>E15+E22+E34+E46+E54+E60</f>
        <v>438903.06099999999</v>
      </c>
      <c r="F63" s="148">
        <f>F15+F22+F34+F46+F54+F60</f>
        <v>428172.19456999999</v>
      </c>
      <c r="G63" s="98">
        <f>G15+G22+G34+G46+G54+G60+G62</f>
        <v>405101.58390999999</v>
      </c>
      <c r="H63" s="98">
        <f>H15+H22+H34+H46+H54+H60</f>
        <v>438903.06054942601</v>
      </c>
      <c r="I63" s="148">
        <f>I15+I22+I34+I46+I54+I60</f>
        <v>428172.19456999999</v>
      </c>
      <c r="J63" s="99">
        <f>J15+J22+J34+J46+J54+J60+J62</f>
        <v>405114.35638999991</v>
      </c>
      <c r="K63" s="368"/>
    </row>
    <row r="64" spans="2:11" x14ac:dyDescent="0.15">
      <c r="C64" s="378" t="s">
        <v>2196</v>
      </c>
      <c r="D64" s="378"/>
      <c r="E64" s="378"/>
      <c r="F64" s="378"/>
      <c r="G64" s="378"/>
      <c r="H64" s="378"/>
      <c r="I64" s="378"/>
      <c r="J64" s="378"/>
    </row>
    <row r="65" spans="3:10" x14ac:dyDescent="0.15">
      <c r="C65" s="366" t="s">
        <v>2197</v>
      </c>
      <c r="D65" s="62"/>
      <c r="E65" s="92"/>
      <c r="F65" s="92"/>
      <c r="G65" s="92"/>
      <c r="H65" s="62"/>
      <c r="I65" s="62"/>
      <c r="J65" s="62"/>
    </row>
    <row r="66" spans="3:10" x14ac:dyDescent="0.15">
      <c r="E66" s="103"/>
      <c r="F66" s="103"/>
      <c r="G66" s="103"/>
      <c r="H66" s="103"/>
      <c r="I66" s="103"/>
      <c r="J66" s="103"/>
    </row>
    <row r="67" spans="3:10" x14ac:dyDescent="0.15">
      <c r="H67" s="103"/>
      <c r="I67" s="103"/>
      <c r="J67" s="103"/>
    </row>
  </sheetData>
  <mergeCells count="9">
    <mergeCell ref="K8:K63"/>
    <mergeCell ref="C7:J7"/>
    <mergeCell ref="B8:B63"/>
    <mergeCell ref="C64:J64"/>
    <mergeCell ref="D8:D10"/>
    <mergeCell ref="E8:G8"/>
    <mergeCell ref="H8:J8"/>
    <mergeCell ref="E2:G2"/>
    <mergeCell ref="D4:I4"/>
  </mergeCells>
  <phoneticPr fontId="48" type="noConversion"/>
  <pageMargins left="0.70866141732283472" right="0.70866141732283472" top="0.74803149606299213" bottom="0.74803149606299213" header="0.31496062992125984" footer="0.31496062992125984"/>
  <pageSetup paperSize="9" scale="75" orientation="portrait" r:id="rId1"/>
  <headerFooter>
    <oddFooter>&amp;Cעמוד 6</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B0F0"/>
    <pageSetUpPr fitToPage="1"/>
  </sheetPr>
  <dimension ref="A3:K1398"/>
  <sheetViews>
    <sheetView rightToLeft="1" view="pageBreakPreview" zoomScale="115" zoomScaleSheetLayoutView="115" workbookViewId="0">
      <pane ySplit="6" topLeftCell="A184" activePane="bottomLeft" state="frozen"/>
      <selection pane="bottomLeft" activeCell="B5" activeCellId="5" sqref="A1398 A6:A1396 B1398 B1397:J1397 K6:K1396 B5:J5"/>
    </sheetView>
  </sheetViews>
  <sheetFormatPr baseColWidth="10" defaultColWidth="9.1640625" defaultRowHeight="13" x14ac:dyDescent="0.15"/>
  <cols>
    <col min="1" max="1" width="9.1640625" style="182"/>
    <col min="2" max="2" width="11" style="155" bestFit="1" customWidth="1"/>
    <col min="3" max="3" width="1.1640625" style="155" customWidth="1"/>
    <col min="4" max="4" width="32.5" style="181" customWidth="1"/>
    <col min="5" max="5" width="1.6640625" style="183" customWidth="1"/>
    <col min="6" max="6" width="16.5" style="157" bestFit="1" customWidth="1"/>
    <col min="7" max="7" width="1.6640625" style="166" customWidth="1"/>
    <col min="8" max="8" width="16.5" style="157" bestFit="1" customWidth="1"/>
    <col min="9" max="9" width="1.5" style="166" customWidth="1"/>
    <col min="10" max="10" width="19.5" style="157" customWidth="1"/>
    <col min="11" max="11" width="11.33203125" style="155" bestFit="1" customWidth="1"/>
    <col min="12" max="16384" width="9.1640625" style="155"/>
  </cols>
  <sheetData>
    <row r="3" spans="1:11" ht="15.75" customHeight="1" x14ac:dyDescent="0.3">
      <c r="B3" s="159" t="s">
        <v>1273</v>
      </c>
      <c r="E3" s="359" t="s">
        <v>2073</v>
      </c>
      <c r="F3" s="359"/>
      <c r="G3" s="359"/>
      <c r="H3" s="197"/>
      <c r="I3" s="197"/>
      <c r="J3" s="197"/>
    </row>
    <row r="4" spans="1:11" ht="13.5" hidden="1" customHeight="1" x14ac:dyDescent="0.15"/>
    <row r="5" spans="1:11" s="182" customFormat="1" ht="13.5" customHeight="1" x14ac:dyDescent="0.15">
      <c r="B5" s="383" t="s">
        <v>2193</v>
      </c>
      <c r="C5" s="383"/>
      <c r="D5" s="383"/>
      <c r="E5" s="383"/>
      <c r="F5" s="383"/>
      <c r="G5" s="383"/>
      <c r="H5" s="383"/>
      <c r="I5" s="383"/>
      <c r="J5" s="383"/>
    </row>
    <row r="6" spans="1:11" ht="14" thickBot="1" x14ac:dyDescent="0.2">
      <c r="A6" s="383" t="s">
        <v>2194</v>
      </c>
      <c r="B6" s="160" t="s">
        <v>1167</v>
      </c>
      <c r="D6" s="280" t="s">
        <v>1168</v>
      </c>
      <c r="E6" s="161"/>
      <c r="F6" s="162" t="s">
        <v>2067</v>
      </c>
      <c r="H6" s="162" t="s">
        <v>1698</v>
      </c>
      <c r="J6" s="162" t="s">
        <v>2068</v>
      </c>
      <c r="K6" s="383" t="s">
        <v>2195</v>
      </c>
    </row>
    <row r="7" spans="1:11" x14ac:dyDescent="0.15">
      <c r="A7" s="383"/>
      <c r="B7" s="155">
        <v>1111100100</v>
      </c>
      <c r="D7" s="181" t="s">
        <v>273</v>
      </c>
      <c r="F7" s="157">
        <v>130493777</v>
      </c>
      <c r="H7" s="157">
        <v>121650035</v>
      </c>
      <c r="J7" s="157">
        <v>115576296.56999999</v>
      </c>
      <c r="K7" s="383"/>
    </row>
    <row r="8" spans="1:11" x14ac:dyDescent="0.15">
      <c r="A8" s="383"/>
      <c r="B8" s="155">
        <v>1111200100</v>
      </c>
      <c r="D8" s="181" t="s">
        <v>274</v>
      </c>
      <c r="F8" s="157">
        <v>12000000</v>
      </c>
      <c r="H8" s="157">
        <v>9500000</v>
      </c>
      <c r="J8" s="157">
        <v>11457331.65</v>
      </c>
      <c r="K8" s="383"/>
    </row>
    <row r="9" spans="1:11" x14ac:dyDescent="0.15">
      <c r="A9" s="383"/>
      <c r="B9" s="163">
        <v>1111200216</v>
      </c>
      <c r="D9" s="281" t="s">
        <v>1369</v>
      </c>
      <c r="F9" s="157">
        <v>210000</v>
      </c>
      <c r="H9" s="157">
        <v>404400</v>
      </c>
      <c r="J9" s="157">
        <v>437447.92</v>
      </c>
      <c r="K9" s="383"/>
    </row>
    <row r="10" spans="1:11" x14ac:dyDescent="0.15">
      <c r="A10" s="383"/>
      <c r="B10" s="155">
        <v>1111300291</v>
      </c>
      <c r="D10" s="181" t="s">
        <v>275</v>
      </c>
      <c r="F10" s="157">
        <v>550000</v>
      </c>
      <c r="H10" s="157">
        <v>550000</v>
      </c>
      <c r="J10" s="157">
        <v>504038.64</v>
      </c>
      <c r="K10" s="383"/>
    </row>
    <row r="11" spans="1:11" ht="14" thickBot="1" x14ac:dyDescent="0.2">
      <c r="A11" s="383"/>
      <c r="B11" s="155">
        <v>1111400100</v>
      </c>
      <c r="D11" s="282" t="s">
        <v>276</v>
      </c>
      <c r="F11" s="158">
        <v>12350000</v>
      </c>
      <c r="H11" s="158">
        <v>12350000</v>
      </c>
      <c r="J11" s="158">
        <v>4750000</v>
      </c>
      <c r="K11" s="383"/>
    </row>
    <row r="12" spans="1:11" x14ac:dyDescent="0.15">
      <c r="A12" s="383"/>
      <c r="D12" s="283" t="s">
        <v>1169</v>
      </c>
      <c r="E12" s="161"/>
      <c r="F12" s="178">
        <v>155603777</v>
      </c>
      <c r="G12" s="169">
        <v>0</v>
      </c>
      <c r="H12" s="178">
        <v>144454435</v>
      </c>
      <c r="I12" s="169">
        <v>0</v>
      </c>
      <c r="J12" s="178">
        <v>132725114.78</v>
      </c>
      <c r="K12" s="383"/>
    </row>
    <row r="13" spans="1:11" ht="14" thickBot="1" x14ac:dyDescent="0.2">
      <c r="A13" s="383"/>
      <c r="B13" s="155">
        <v>1113000290</v>
      </c>
      <c r="D13" s="282" t="s">
        <v>505</v>
      </c>
      <c r="F13" s="158">
        <v>30000000</v>
      </c>
      <c r="H13" s="158">
        <v>28000000</v>
      </c>
      <c r="J13" s="158">
        <v>27445116.969999999</v>
      </c>
      <c r="K13" s="383"/>
    </row>
    <row r="14" spans="1:11" x14ac:dyDescent="0.15">
      <c r="A14" s="383"/>
      <c r="D14" s="283" t="s">
        <v>1170</v>
      </c>
      <c r="E14" s="161"/>
      <c r="F14" s="178">
        <v>30000000</v>
      </c>
      <c r="G14" s="169">
        <v>0</v>
      </c>
      <c r="H14" s="178">
        <v>28000000</v>
      </c>
      <c r="I14" s="169">
        <v>0</v>
      </c>
      <c r="J14" s="178">
        <v>27445116.969999999</v>
      </c>
      <c r="K14" s="383"/>
    </row>
    <row r="15" spans="1:11" s="182" customFormat="1" x14ac:dyDescent="0.15">
      <c r="A15" s="383"/>
      <c r="B15">
        <v>1121000220</v>
      </c>
      <c r="D15" s="278" t="s">
        <v>1542</v>
      </c>
      <c r="E15" s="161"/>
      <c r="F15" s="157">
        <v>2000</v>
      </c>
      <c r="G15" s="165"/>
      <c r="H15" s="157">
        <v>1890.46</v>
      </c>
      <c r="I15" s="165"/>
      <c r="J15" s="157">
        <v>1755.92</v>
      </c>
      <c r="K15" s="383"/>
    </row>
    <row r="16" spans="1:11" x14ac:dyDescent="0.15">
      <c r="A16" s="383"/>
      <c r="B16">
        <v>1122000220</v>
      </c>
      <c r="D16" s="278" t="s">
        <v>308</v>
      </c>
      <c r="F16" s="157">
        <v>1900000</v>
      </c>
      <c r="H16" s="157">
        <v>1700000</v>
      </c>
      <c r="J16" s="157">
        <v>1434143.64</v>
      </c>
      <c r="K16" s="383"/>
    </row>
    <row r="17" spans="1:11" x14ac:dyDescent="0.15">
      <c r="A17" s="383"/>
      <c r="B17">
        <v>1122000221</v>
      </c>
      <c r="D17" s="278" t="s">
        <v>1370</v>
      </c>
      <c r="F17" s="157">
        <v>450000</v>
      </c>
      <c r="H17" s="157">
        <v>450000</v>
      </c>
      <c r="J17" s="157">
        <v>359852.15</v>
      </c>
      <c r="K17" s="383"/>
    </row>
    <row r="18" spans="1:11" s="182" customFormat="1" x14ac:dyDescent="0.15">
      <c r="A18" s="383"/>
      <c r="B18">
        <v>1123000220</v>
      </c>
      <c r="D18" s="278" t="s">
        <v>1171</v>
      </c>
      <c r="E18" s="183"/>
      <c r="F18" s="157">
        <v>0</v>
      </c>
      <c r="G18" s="166"/>
      <c r="H18" s="157">
        <v>0</v>
      </c>
      <c r="I18" s="166"/>
      <c r="J18" s="157">
        <v>0</v>
      </c>
      <c r="K18" s="383"/>
    </row>
    <row r="19" spans="1:11" x14ac:dyDescent="0.15">
      <c r="A19" s="383"/>
      <c r="B19">
        <v>1124100220</v>
      </c>
      <c r="D19" s="278" t="s">
        <v>309</v>
      </c>
      <c r="F19" s="157">
        <v>1000</v>
      </c>
      <c r="H19" s="157">
        <v>0</v>
      </c>
      <c r="J19" s="157">
        <v>0</v>
      </c>
      <c r="K19" s="383"/>
    </row>
    <row r="20" spans="1:11" x14ac:dyDescent="0.15">
      <c r="A20" s="383"/>
      <c r="B20">
        <v>1129100220</v>
      </c>
      <c r="D20" s="278" t="s">
        <v>310</v>
      </c>
      <c r="F20" s="157">
        <v>135600</v>
      </c>
      <c r="H20" s="157">
        <v>254932.8</v>
      </c>
      <c r="J20" s="157">
        <v>305728.17</v>
      </c>
      <c r="K20" s="383"/>
    </row>
    <row r="21" spans="1:11" ht="14" thickBot="1" x14ac:dyDescent="0.2">
      <c r="A21" s="383"/>
      <c r="B21">
        <v>1129100221</v>
      </c>
      <c r="D21" s="279" t="s">
        <v>311</v>
      </c>
      <c r="F21" s="158">
        <v>782269</v>
      </c>
      <c r="H21" s="158">
        <v>780951.6</v>
      </c>
      <c r="J21" s="158">
        <v>881879.92</v>
      </c>
      <c r="K21" s="383"/>
    </row>
    <row r="22" spans="1:11" x14ac:dyDescent="0.15">
      <c r="A22" s="383"/>
      <c r="D22" s="283" t="s">
        <v>1172</v>
      </c>
      <c r="F22" s="178">
        <v>3270869</v>
      </c>
      <c r="G22" s="169">
        <v>0</v>
      </c>
      <c r="H22" s="178">
        <v>3187774.86</v>
      </c>
      <c r="I22" s="169">
        <v>0</v>
      </c>
      <c r="J22" s="178">
        <v>2983359.8</v>
      </c>
      <c r="K22" s="383"/>
    </row>
    <row r="23" spans="1:11" ht="14" thickBot="1" x14ac:dyDescent="0.2">
      <c r="A23" s="383"/>
      <c r="B23" s="155">
        <v>1160000662</v>
      </c>
      <c r="D23" s="282" t="s">
        <v>312</v>
      </c>
      <c r="F23" s="158">
        <v>2760000</v>
      </c>
      <c r="H23" s="158">
        <v>2770000</v>
      </c>
      <c r="J23" s="158">
        <v>5991.34</v>
      </c>
      <c r="K23" s="383"/>
    </row>
    <row r="24" spans="1:11" x14ac:dyDescent="0.15">
      <c r="A24" s="383"/>
      <c r="D24" s="283" t="s">
        <v>1173</v>
      </c>
      <c r="F24" s="178">
        <v>2760000</v>
      </c>
      <c r="G24" s="169">
        <v>0</v>
      </c>
      <c r="H24" s="178">
        <v>2770000</v>
      </c>
      <c r="I24" s="169">
        <v>0</v>
      </c>
      <c r="J24" s="178">
        <v>5991.34</v>
      </c>
      <c r="K24" s="383"/>
    </row>
    <row r="25" spans="1:11" x14ac:dyDescent="0.15">
      <c r="A25" s="383"/>
      <c r="B25" s="155">
        <v>1191000910</v>
      </c>
      <c r="D25" s="181" t="s">
        <v>1329</v>
      </c>
      <c r="F25" s="157">
        <v>50210000</v>
      </c>
      <c r="H25" s="157">
        <v>50210000</v>
      </c>
      <c r="J25" s="157">
        <v>50629535</v>
      </c>
      <c r="K25" s="383"/>
    </row>
    <row r="26" spans="1:11" ht="14" thickBot="1" x14ac:dyDescent="0.2">
      <c r="A26" s="383"/>
      <c r="B26" s="155">
        <v>1192000910</v>
      </c>
      <c r="D26" s="282" t="s">
        <v>501</v>
      </c>
      <c r="F26" s="157">
        <v>7846000</v>
      </c>
      <c r="H26" s="157">
        <v>5827888</v>
      </c>
      <c r="J26" s="157">
        <v>7902237</v>
      </c>
      <c r="K26" s="383"/>
    </row>
    <row r="27" spans="1:11" ht="14" thickBot="1" x14ac:dyDescent="0.2">
      <c r="A27" s="383"/>
      <c r="D27" s="280" t="s">
        <v>1174</v>
      </c>
      <c r="F27" s="179">
        <v>58056000</v>
      </c>
      <c r="G27" s="169">
        <v>0</v>
      </c>
      <c r="H27" s="179">
        <v>56037888</v>
      </c>
      <c r="I27" s="169">
        <v>0</v>
      </c>
      <c r="J27" s="179">
        <v>58531772</v>
      </c>
      <c r="K27" s="383"/>
    </row>
    <row r="28" spans="1:11" ht="14" thickBot="1" x14ac:dyDescent="0.2">
      <c r="A28" s="383"/>
      <c r="D28" s="280" t="s">
        <v>1175</v>
      </c>
      <c r="F28" s="162">
        <v>249690646</v>
      </c>
      <c r="G28" s="169">
        <v>0</v>
      </c>
      <c r="H28" s="162">
        <v>234450097.86000001</v>
      </c>
      <c r="I28" s="169">
        <v>0</v>
      </c>
      <c r="J28" s="162">
        <v>221691354.88999999</v>
      </c>
      <c r="K28" s="383"/>
    </row>
    <row r="29" spans="1:11" x14ac:dyDescent="0.15">
      <c r="A29" s="383"/>
      <c r="B29">
        <v>1212300690</v>
      </c>
      <c r="D29" s="278" t="s">
        <v>313</v>
      </c>
      <c r="F29" s="157">
        <v>0</v>
      </c>
      <c r="H29" s="157">
        <v>0</v>
      </c>
      <c r="J29" s="157">
        <v>0</v>
      </c>
      <c r="K29" s="383"/>
    </row>
    <row r="30" spans="1:11" s="182" customFormat="1" x14ac:dyDescent="0.15">
      <c r="A30" s="383"/>
      <c r="B30">
        <v>1212300292</v>
      </c>
      <c r="D30" s="278" t="s">
        <v>2076</v>
      </c>
      <c r="E30" s="183"/>
      <c r="F30" s="157">
        <v>100800</v>
      </c>
      <c r="G30" s="166"/>
      <c r="H30" s="157">
        <v>0</v>
      </c>
      <c r="I30" s="166"/>
      <c r="J30" s="157">
        <v>0</v>
      </c>
      <c r="K30" s="383"/>
    </row>
    <row r="31" spans="1:11" x14ac:dyDescent="0.15">
      <c r="A31" s="383"/>
      <c r="B31">
        <v>1212400220</v>
      </c>
      <c r="D31" s="278" t="s">
        <v>314</v>
      </c>
      <c r="F31" s="157">
        <v>1052000</v>
      </c>
      <c r="H31" s="157">
        <v>950000</v>
      </c>
      <c r="J31" s="157">
        <v>719243.8</v>
      </c>
      <c r="K31" s="383"/>
    </row>
    <row r="32" spans="1:11" x14ac:dyDescent="0.15">
      <c r="A32" s="383"/>
      <c r="B32">
        <v>1212400221</v>
      </c>
      <c r="D32" s="278" t="s">
        <v>315</v>
      </c>
      <c r="F32" s="157">
        <v>200000</v>
      </c>
      <c r="H32" s="157">
        <v>250000</v>
      </c>
      <c r="J32" s="157">
        <v>211667.20000000001</v>
      </c>
      <c r="K32" s="383"/>
    </row>
    <row r="33" spans="1:11" x14ac:dyDescent="0.15">
      <c r="A33" s="383"/>
      <c r="B33">
        <v>1213000220</v>
      </c>
      <c r="D33" s="278" t="s">
        <v>316</v>
      </c>
      <c r="F33" s="157">
        <v>54000</v>
      </c>
      <c r="H33" s="157">
        <v>37666.800000000003</v>
      </c>
      <c r="J33" s="157">
        <v>39653.300000000003</v>
      </c>
      <c r="K33" s="383"/>
    </row>
    <row r="34" spans="1:11" s="182" customFormat="1" x14ac:dyDescent="0.15">
      <c r="A34" s="383"/>
      <c r="B34">
        <v>1213000221</v>
      </c>
      <c r="D34" s="278" t="s">
        <v>1376</v>
      </c>
      <c r="E34" s="183"/>
      <c r="F34" s="157">
        <v>0</v>
      </c>
      <c r="G34" s="166"/>
      <c r="H34" s="157">
        <v>0</v>
      </c>
      <c r="I34" s="166"/>
      <c r="J34" s="157">
        <v>45</v>
      </c>
      <c r="K34" s="383"/>
    </row>
    <row r="35" spans="1:11" x14ac:dyDescent="0.15">
      <c r="A35" s="383"/>
      <c r="B35">
        <v>1214200221</v>
      </c>
      <c r="D35" s="278" t="s">
        <v>317</v>
      </c>
      <c r="F35" s="157">
        <v>210000</v>
      </c>
      <c r="H35" s="157">
        <v>135000</v>
      </c>
      <c r="J35" s="157">
        <v>250047</v>
      </c>
      <c r="K35" s="383"/>
    </row>
    <row r="36" spans="1:11" x14ac:dyDescent="0.15">
      <c r="A36" s="383"/>
      <c r="B36">
        <v>1214200960</v>
      </c>
      <c r="D36" s="278" t="s">
        <v>491</v>
      </c>
      <c r="F36" s="157">
        <v>200000</v>
      </c>
      <c r="H36" s="157">
        <v>200000</v>
      </c>
      <c r="J36" s="157">
        <v>200000</v>
      </c>
      <c r="K36" s="383"/>
    </row>
    <row r="37" spans="1:11" s="182" customFormat="1" x14ac:dyDescent="0.15">
      <c r="A37" s="383"/>
      <c r="B37">
        <v>1214201220</v>
      </c>
      <c r="D37" s="278" t="s">
        <v>1378</v>
      </c>
      <c r="E37" s="183"/>
      <c r="F37" s="157">
        <v>0</v>
      </c>
      <c r="G37" s="166"/>
      <c r="H37" s="157">
        <v>0</v>
      </c>
      <c r="I37" s="166"/>
      <c r="J37" s="157">
        <v>0</v>
      </c>
      <c r="K37" s="383"/>
    </row>
    <row r="38" spans="1:11" x14ac:dyDescent="0.15">
      <c r="A38" s="383"/>
      <c r="B38">
        <v>1214300220</v>
      </c>
      <c r="D38" s="278" t="s">
        <v>318</v>
      </c>
      <c r="F38" s="157">
        <v>170800</v>
      </c>
      <c r="H38" s="157">
        <v>153289.32999999999</v>
      </c>
      <c r="J38" s="157">
        <v>151222.43</v>
      </c>
      <c r="K38" s="383"/>
    </row>
    <row r="39" spans="1:11" x14ac:dyDescent="0.15">
      <c r="A39" s="383"/>
      <c r="B39">
        <v>1214301220</v>
      </c>
      <c r="D39" s="278" t="s">
        <v>319</v>
      </c>
      <c r="F39" s="157">
        <v>20000</v>
      </c>
      <c r="H39" s="157">
        <v>19947.599999999999</v>
      </c>
      <c r="J39" s="157">
        <v>16623.8</v>
      </c>
      <c r="K39" s="383"/>
    </row>
    <row r="40" spans="1:11" s="182" customFormat="1" ht="14" thickBot="1" x14ac:dyDescent="0.2">
      <c r="A40" s="383"/>
      <c r="D40" s="282"/>
      <c r="E40" s="183"/>
      <c r="F40" s="158"/>
      <c r="G40" s="166"/>
      <c r="H40" s="158"/>
      <c r="I40" s="166"/>
      <c r="J40" s="158"/>
      <c r="K40" s="383"/>
    </row>
    <row r="41" spans="1:11" x14ac:dyDescent="0.15">
      <c r="A41" s="383"/>
      <c r="D41" s="283" t="s">
        <v>1176</v>
      </c>
      <c r="F41" s="178">
        <v>2007600</v>
      </c>
      <c r="G41" s="169">
        <v>0</v>
      </c>
      <c r="H41" s="178">
        <v>1745903.7300000002</v>
      </c>
      <c r="I41" s="169">
        <v>0</v>
      </c>
      <c r="J41" s="178">
        <v>1588502.53</v>
      </c>
      <c r="K41" s="383"/>
    </row>
    <row r="42" spans="1:11" x14ac:dyDescent="0.15">
      <c r="A42" s="383"/>
      <c r="B42">
        <v>1222000440</v>
      </c>
      <c r="D42" s="181" t="s">
        <v>320</v>
      </c>
      <c r="F42" s="157">
        <v>35000</v>
      </c>
      <c r="H42" s="157">
        <v>35000</v>
      </c>
      <c r="J42" s="157">
        <v>29524</v>
      </c>
      <c r="K42" s="383"/>
    </row>
    <row r="43" spans="1:11" s="182" customFormat="1" x14ac:dyDescent="0.15">
      <c r="A43" s="383"/>
      <c r="B43">
        <v>1222000441</v>
      </c>
      <c r="D43" s="278" t="s">
        <v>1586</v>
      </c>
      <c r="E43" s="183"/>
      <c r="F43" s="157">
        <v>0</v>
      </c>
      <c r="G43" s="166"/>
      <c r="H43" s="157">
        <v>0</v>
      </c>
      <c r="I43" s="166"/>
      <c r="J43" s="157">
        <v>1200</v>
      </c>
      <c r="K43" s="383"/>
    </row>
    <row r="44" spans="1:11" s="182" customFormat="1" x14ac:dyDescent="0.15">
      <c r="A44" s="383"/>
      <c r="B44">
        <v>1222000970</v>
      </c>
      <c r="D44" s="278" t="s">
        <v>1663</v>
      </c>
      <c r="E44" s="183"/>
      <c r="F44" s="157">
        <v>0</v>
      </c>
      <c r="G44" s="166"/>
      <c r="H44" s="157">
        <v>178751</v>
      </c>
      <c r="I44" s="166"/>
      <c r="J44" s="157">
        <v>0</v>
      </c>
      <c r="K44" s="383"/>
    </row>
    <row r="45" spans="1:11" s="182" customFormat="1" x14ac:dyDescent="0.15">
      <c r="A45" s="383"/>
      <c r="B45">
        <v>1222000971</v>
      </c>
      <c r="D45" s="278" t="s">
        <v>1943</v>
      </c>
      <c r="E45" s="183"/>
      <c r="F45" s="157">
        <v>0</v>
      </c>
      <c r="G45" s="166"/>
      <c r="H45" s="157">
        <v>120864</v>
      </c>
      <c r="I45" s="166"/>
      <c r="J45" s="157">
        <v>749571</v>
      </c>
      <c r="K45" s="383"/>
    </row>
    <row r="46" spans="1:11" x14ac:dyDescent="0.15">
      <c r="A46" s="383"/>
      <c r="B46">
        <v>1222100400</v>
      </c>
      <c r="D46" s="181" t="s">
        <v>321</v>
      </c>
      <c r="F46" s="157">
        <v>350000</v>
      </c>
      <c r="H46" s="157">
        <v>391000</v>
      </c>
      <c r="J46" s="157">
        <v>361739.17</v>
      </c>
      <c r="K46" s="383"/>
    </row>
    <row r="47" spans="1:11" x14ac:dyDescent="0.15">
      <c r="A47" s="383"/>
      <c r="B47">
        <v>1222100440</v>
      </c>
      <c r="D47" s="181" t="s">
        <v>322</v>
      </c>
      <c r="F47" s="157">
        <v>4165000</v>
      </c>
      <c r="H47" s="157">
        <v>3742976</v>
      </c>
      <c r="J47" s="157">
        <v>2538575.29</v>
      </c>
      <c r="K47" s="383"/>
    </row>
    <row r="48" spans="1:11" x14ac:dyDescent="0.15">
      <c r="A48" s="383"/>
      <c r="B48">
        <v>1222100910</v>
      </c>
      <c r="D48" s="181" t="s">
        <v>492</v>
      </c>
      <c r="F48" s="157">
        <v>0</v>
      </c>
      <c r="H48" s="157">
        <v>0</v>
      </c>
      <c r="J48" s="157">
        <v>0</v>
      </c>
      <c r="K48" s="383"/>
    </row>
    <row r="49" spans="1:11" s="182" customFormat="1" ht="14" thickBot="1" x14ac:dyDescent="0.2">
      <c r="A49" s="383"/>
      <c r="B49">
        <v>1223000410</v>
      </c>
      <c r="D49" s="282" t="s">
        <v>1177</v>
      </c>
      <c r="E49" s="183"/>
      <c r="F49" s="158">
        <v>42120</v>
      </c>
      <c r="G49" s="166"/>
      <c r="H49" s="158">
        <v>0</v>
      </c>
      <c r="I49" s="166"/>
      <c r="J49" s="158">
        <v>0</v>
      </c>
      <c r="K49" s="383"/>
    </row>
    <row r="50" spans="1:11" x14ac:dyDescent="0.15">
      <c r="A50" s="383"/>
      <c r="D50" s="283" t="s">
        <v>1178</v>
      </c>
      <c r="F50" s="178">
        <v>4592120</v>
      </c>
      <c r="G50" s="169">
        <v>0</v>
      </c>
      <c r="H50" s="178">
        <v>4468591</v>
      </c>
      <c r="I50" s="169">
        <v>0</v>
      </c>
      <c r="J50" s="178">
        <v>3680609.46</v>
      </c>
      <c r="K50" s="383"/>
    </row>
    <row r="51" spans="1:11" x14ac:dyDescent="0.15">
      <c r="A51" s="383"/>
      <c r="B51">
        <v>1233000690</v>
      </c>
      <c r="D51" s="278" t="s">
        <v>323</v>
      </c>
      <c r="F51" s="157">
        <v>54000</v>
      </c>
      <c r="H51" s="157">
        <v>50000.2</v>
      </c>
      <c r="J51" s="157">
        <v>60795.44</v>
      </c>
      <c r="K51" s="383"/>
    </row>
    <row r="52" spans="1:11" x14ac:dyDescent="0.15">
      <c r="A52" s="383"/>
      <c r="B52">
        <v>1233100220</v>
      </c>
      <c r="D52" s="278" t="s">
        <v>324</v>
      </c>
      <c r="F52" s="157">
        <v>5335000</v>
      </c>
      <c r="H52" s="157">
        <v>3353126</v>
      </c>
      <c r="J52" s="157">
        <v>1994916.75</v>
      </c>
      <c r="K52" s="383"/>
    </row>
    <row r="53" spans="1:11" s="182" customFormat="1" x14ac:dyDescent="0.15">
      <c r="A53" s="383"/>
      <c r="B53">
        <v>1233200220</v>
      </c>
      <c r="D53" s="278" t="s">
        <v>1368</v>
      </c>
      <c r="E53" s="183"/>
      <c r="F53" s="157">
        <v>0</v>
      </c>
      <c r="G53" s="166"/>
      <c r="H53" s="157">
        <v>0</v>
      </c>
      <c r="I53" s="166"/>
      <c r="J53" s="157">
        <v>0</v>
      </c>
      <c r="K53" s="383"/>
    </row>
    <row r="54" spans="1:11" x14ac:dyDescent="0.15">
      <c r="A54" s="383"/>
      <c r="B54">
        <v>1233200290</v>
      </c>
      <c r="D54" s="278" t="s">
        <v>325</v>
      </c>
      <c r="F54" s="157">
        <v>4700000</v>
      </c>
      <c r="H54" s="157">
        <v>10411263</v>
      </c>
      <c r="J54" s="157">
        <v>1001837.93</v>
      </c>
      <c r="K54" s="383"/>
    </row>
    <row r="55" spans="1:11" s="182" customFormat="1" x14ac:dyDescent="0.15">
      <c r="A55" s="383"/>
      <c r="B55">
        <v>1233200291</v>
      </c>
      <c r="D55" s="278" t="s">
        <v>1587</v>
      </c>
      <c r="E55" s="183"/>
      <c r="F55" s="157">
        <v>464968</v>
      </c>
      <c r="G55" s="166"/>
      <c r="H55" s="157">
        <v>450000</v>
      </c>
      <c r="I55" s="166"/>
      <c r="J55" s="157">
        <v>529788.81000000006</v>
      </c>
      <c r="K55" s="383"/>
    </row>
    <row r="56" spans="1:11" s="182" customFormat="1" x14ac:dyDescent="0.15">
      <c r="A56" s="383"/>
      <c r="B56">
        <v>1233200292</v>
      </c>
      <c r="D56" s="278" t="s">
        <v>1660</v>
      </c>
      <c r="E56" s="183"/>
      <c r="F56" s="157">
        <v>0</v>
      </c>
      <c r="G56" s="166"/>
      <c r="H56" s="157">
        <v>0</v>
      </c>
      <c r="I56" s="166"/>
      <c r="J56" s="157">
        <v>0</v>
      </c>
      <c r="K56" s="383"/>
    </row>
    <row r="57" spans="1:11" s="182" customFormat="1" x14ac:dyDescent="0.15">
      <c r="A57" s="383"/>
      <c r="B57">
        <v>1233200293</v>
      </c>
      <c r="D57" s="278" t="s">
        <v>1738</v>
      </c>
      <c r="E57" s="183"/>
      <c r="F57" s="157">
        <v>0</v>
      </c>
      <c r="G57" s="166"/>
      <c r="H57" s="157">
        <v>1400000</v>
      </c>
      <c r="I57" s="166"/>
      <c r="J57" s="157">
        <v>0</v>
      </c>
      <c r="K57" s="383"/>
    </row>
    <row r="58" spans="1:11" s="182" customFormat="1" x14ac:dyDescent="0.15">
      <c r="A58" s="383"/>
      <c r="B58">
        <v>1233200294</v>
      </c>
      <c r="D58" s="278" t="s">
        <v>2066</v>
      </c>
      <c r="E58" s="183"/>
      <c r="F58" s="157">
        <v>225000</v>
      </c>
      <c r="G58" s="166"/>
      <c r="H58" s="157">
        <v>2241666.67</v>
      </c>
      <c r="I58" s="166"/>
      <c r="J58" s="157">
        <v>0</v>
      </c>
      <c r="K58" s="383"/>
    </row>
    <row r="59" spans="1:11" ht="14" thickBot="1" x14ac:dyDescent="0.2">
      <c r="A59" s="383"/>
      <c r="B59">
        <v>1233300290</v>
      </c>
      <c r="D59" s="279" t="s">
        <v>326</v>
      </c>
      <c r="F59" s="158">
        <v>0</v>
      </c>
      <c r="H59" s="158">
        <v>0</v>
      </c>
      <c r="J59" s="158">
        <v>350</v>
      </c>
      <c r="K59" s="383"/>
    </row>
    <row r="60" spans="1:11" x14ac:dyDescent="0.15">
      <c r="A60" s="383"/>
      <c r="D60" s="283" t="s">
        <v>1179</v>
      </c>
      <c r="F60" s="178">
        <v>10778968</v>
      </c>
      <c r="G60" s="169">
        <v>0</v>
      </c>
      <c r="H60" s="178">
        <v>17906055.869999997</v>
      </c>
      <c r="I60" s="169">
        <v>0</v>
      </c>
      <c r="J60" s="178">
        <v>3587688.93</v>
      </c>
      <c r="K60" s="383"/>
    </row>
    <row r="61" spans="1:11" ht="14" thickBot="1" x14ac:dyDescent="0.2">
      <c r="A61" s="383"/>
      <c r="B61">
        <v>1242000220</v>
      </c>
      <c r="D61" s="279" t="s">
        <v>328</v>
      </c>
      <c r="F61" s="158">
        <v>153000</v>
      </c>
      <c r="H61" s="158">
        <v>100000</v>
      </c>
      <c r="J61" s="158">
        <v>113832.9</v>
      </c>
      <c r="K61" s="383"/>
    </row>
    <row r="62" spans="1:11" x14ac:dyDescent="0.15">
      <c r="A62" s="383"/>
      <c r="D62" s="283" t="s">
        <v>1180</v>
      </c>
      <c r="F62" s="178">
        <v>153000</v>
      </c>
      <c r="G62" s="169">
        <v>0</v>
      </c>
      <c r="H62" s="178">
        <v>100000</v>
      </c>
      <c r="I62" s="169">
        <v>0</v>
      </c>
      <c r="J62" s="178">
        <v>113832.9</v>
      </c>
      <c r="K62" s="383"/>
    </row>
    <row r="63" spans="1:11" s="182" customFormat="1" x14ac:dyDescent="0.15">
      <c r="A63" s="383"/>
      <c r="B63" s="182">
        <v>1252000490</v>
      </c>
      <c r="D63" s="278" t="s">
        <v>2078</v>
      </c>
      <c r="E63" s="183"/>
      <c r="F63" s="157">
        <v>280000</v>
      </c>
      <c r="G63" s="165"/>
      <c r="H63" s="157">
        <v>650000</v>
      </c>
      <c r="I63" s="165"/>
      <c r="J63" s="157">
        <v>0</v>
      </c>
      <c r="K63" s="383"/>
    </row>
    <row r="64" spans="1:11" s="182" customFormat="1" ht="14" thickBot="1" x14ac:dyDescent="0.2">
      <c r="A64" s="383"/>
      <c r="B64" s="182">
        <v>1252000990</v>
      </c>
      <c r="D64" s="278" t="s">
        <v>2079</v>
      </c>
      <c r="E64" s="183"/>
      <c r="F64" s="158">
        <v>160000</v>
      </c>
      <c r="G64" s="165"/>
      <c r="H64" s="158">
        <v>150000</v>
      </c>
      <c r="I64" s="165"/>
      <c r="J64" s="158">
        <v>0</v>
      </c>
      <c r="K64" s="383"/>
    </row>
    <row r="65" spans="1:11" s="182" customFormat="1" x14ac:dyDescent="0.15">
      <c r="A65" s="383"/>
      <c r="D65" s="283" t="s">
        <v>2183</v>
      </c>
      <c r="E65" s="183"/>
      <c r="F65" s="178">
        <v>440000</v>
      </c>
      <c r="G65" s="169">
        <v>0</v>
      </c>
      <c r="H65" s="178">
        <v>800000</v>
      </c>
      <c r="I65" s="169">
        <v>0</v>
      </c>
      <c r="J65" s="178">
        <v>0</v>
      </c>
      <c r="K65" s="383"/>
    </row>
    <row r="66" spans="1:11" x14ac:dyDescent="0.15">
      <c r="A66" s="383"/>
      <c r="B66">
        <v>1261000421</v>
      </c>
      <c r="D66" s="278" t="s">
        <v>330</v>
      </c>
      <c r="F66" s="157">
        <v>200000</v>
      </c>
      <c r="H66" s="157">
        <v>200000</v>
      </c>
      <c r="J66" s="157">
        <v>200000</v>
      </c>
      <c r="K66" s="383"/>
    </row>
    <row r="67" spans="1:11" x14ac:dyDescent="0.15">
      <c r="A67" s="383"/>
      <c r="B67">
        <v>1269000662</v>
      </c>
      <c r="D67" s="278" t="s">
        <v>331</v>
      </c>
      <c r="F67" s="157">
        <v>0</v>
      </c>
      <c r="H67" s="157">
        <v>0</v>
      </c>
      <c r="J67" s="157">
        <v>0</v>
      </c>
      <c r="K67" s="383"/>
    </row>
    <row r="68" spans="1:11" s="182" customFormat="1" x14ac:dyDescent="0.15">
      <c r="A68" s="383"/>
      <c r="B68">
        <v>1269000690</v>
      </c>
      <c r="D68" s="278" t="s">
        <v>1588</v>
      </c>
      <c r="E68" s="183"/>
      <c r="F68" s="157">
        <v>200000</v>
      </c>
      <c r="G68" s="166"/>
      <c r="H68" s="157">
        <v>100000</v>
      </c>
      <c r="I68" s="166"/>
      <c r="J68" s="157">
        <v>100530</v>
      </c>
      <c r="K68" s="383"/>
    </row>
    <row r="69" spans="1:11" x14ac:dyDescent="0.15">
      <c r="A69" s="383"/>
      <c r="B69">
        <v>1269000790</v>
      </c>
      <c r="D69" s="278" t="s">
        <v>331</v>
      </c>
      <c r="F69" s="157">
        <v>200000</v>
      </c>
      <c r="H69" s="157">
        <v>219680</v>
      </c>
      <c r="J69" s="157">
        <v>229016.21</v>
      </c>
      <c r="K69" s="383"/>
    </row>
    <row r="70" spans="1:11" s="182" customFormat="1" x14ac:dyDescent="0.15">
      <c r="A70" s="383"/>
      <c r="B70">
        <v>1269000791</v>
      </c>
      <c r="D70" s="317" t="s">
        <v>1699</v>
      </c>
      <c r="E70" s="183"/>
      <c r="F70" s="157">
        <v>0</v>
      </c>
      <c r="G70" s="166"/>
      <c r="H70" s="157">
        <v>200000</v>
      </c>
      <c r="I70" s="166"/>
      <c r="J70" s="157">
        <v>147671.87</v>
      </c>
      <c r="K70" s="383"/>
    </row>
    <row r="71" spans="1:11" s="182" customFormat="1" ht="14" thickBot="1" x14ac:dyDescent="0.2">
      <c r="A71" s="383"/>
      <c r="B71">
        <v>1269000792</v>
      </c>
      <c r="D71" s="279" t="s">
        <v>2065</v>
      </c>
      <c r="E71" s="183"/>
      <c r="F71" s="158">
        <v>15000</v>
      </c>
      <c r="G71" s="166"/>
      <c r="H71" s="158">
        <v>15000</v>
      </c>
      <c r="I71" s="166"/>
      <c r="J71" s="158">
        <v>14512</v>
      </c>
      <c r="K71" s="383"/>
    </row>
    <row r="72" spans="1:11" x14ac:dyDescent="0.15">
      <c r="A72" s="383"/>
      <c r="D72" s="283" t="s">
        <v>1181</v>
      </c>
      <c r="F72" s="178">
        <v>615000</v>
      </c>
      <c r="G72" s="169">
        <v>0</v>
      </c>
      <c r="H72" s="178">
        <v>734680</v>
      </c>
      <c r="I72" s="169">
        <v>0</v>
      </c>
      <c r="J72" s="178">
        <v>691730.08</v>
      </c>
      <c r="K72" s="383"/>
    </row>
    <row r="73" spans="1:11" x14ac:dyDescent="0.15">
      <c r="A73" s="383"/>
      <c r="B73">
        <v>1281000215</v>
      </c>
      <c r="D73" s="278" t="s">
        <v>332</v>
      </c>
      <c r="F73" s="157">
        <v>250000</v>
      </c>
      <c r="H73" s="157">
        <v>220000</v>
      </c>
      <c r="J73" s="157">
        <v>164991.82999999999</v>
      </c>
      <c r="K73" s="383"/>
    </row>
    <row r="74" spans="1:11" s="182" customFormat="1" ht="14" x14ac:dyDescent="0.15">
      <c r="A74" s="383"/>
      <c r="B74">
        <v>1281000222</v>
      </c>
      <c r="D74" s="322" t="s">
        <v>1540</v>
      </c>
      <c r="E74" s="183"/>
      <c r="F74" s="157">
        <v>0</v>
      </c>
      <c r="G74" s="166"/>
      <c r="H74" s="157">
        <v>0</v>
      </c>
      <c r="I74" s="166"/>
      <c r="J74" s="157">
        <v>410.23</v>
      </c>
      <c r="K74" s="383"/>
    </row>
    <row r="75" spans="1:11" ht="14" thickBot="1" x14ac:dyDescent="0.2">
      <c r="A75" s="383"/>
      <c r="B75">
        <v>1282000490</v>
      </c>
      <c r="D75" s="279" t="s">
        <v>333</v>
      </c>
      <c r="F75" s="158">
        <v>450000</v>
      </c>
      <c r="H75" s="158">
        <v>310000</v>
      </c>
      <c r="J75" s="158">
        <v>393289.03</v>
      </c>
      <c r="K75" s="383"/>
    </row>
    <row r="76" spans="1:11" ht="14" thickBot="1" x14ac:dyDescent="0.2">
      <c r="A76" s="383"/>
      <c r="D76" s="280" t="s">
        <v>1182</v>
      </c>
      <c r="F76" s="162">
        <v>700000</v>
      </c>
      <c r="G76" s="169">
        <v>0</v>
      </c>
      <c r="H76" s="162">
        <v>530000</v>
      </c>
      <c r="I76" s="169">
        <v>0</v>
      </c>
      <c r="J76" s="162">
        <v>558691.09000000008</v>
      </c>
      <c r="K76" s="383"/>
    </row>
    <row r="77" spans="1:11" ht="14" thickBot="1" x14ac:dyDescent="0.2">
      <c r="A77" s="383"/>
      <c r="D77" s="284" t="s">
        <v>1183</v>
      </c>
      <c r="F77" s="179">
        <v>19286688</v>
      </c>
      <c r="G77" s="169">
        <v>0</v>
      </c>
      <c r="H77" s="179">
        <v>26285230.599999998</v>
      </c>
      <c r="I77" s="169">
        <v>0</v>
      </c>
      <c r="J77" s="179">
        <v>10221054.99</v>
      </c>
      <c r="K77" s="383"/>
    </row>
    <row r="78" spans="1:11" s="182" customFormat="1" x14ac:dyDescent="0.15">
      <c r="A78" s="383"/>
      <c r="B78">
        <v>1312200420</v>
      </c>
      <c r="D78" s="278" t="s">
        <v>2050</v>
      </c>
      <c r="E78" s="183"/>
      <c r="F78" s="157">
        <v>104811</v>
      </c>
      <c r="G78" s="166"/>
      <c r="H78" s="157">
        <v>93845</v>
      </c>
      <c r="I78" s="166"/>
      <c r="J78" s="157">
        <v>53215.66</v>
      </c>
      <c r="K78" s="383"/>
    </row>
    <row r="79" spans="1:11" x14ac:dyDescent="0.15">
      <c r="A79" s="383"/>
      <c r="B79">
        <v>1312200440</v>
      </c>
      <c r="D79" s="278" t="s">
        <v>284</v>
      </c>
      <c r="F79" s="157">
        <v>89000</v>
      </c>
      <c r="H79" s="157">
        <v>17000</v>
      </c>
      <c r="J79" s="157">
        <v>42077.599999999999</v>
      </c>
      <c r="K79" s="383"/>
    </row>
    <row r="80" spans="1:11" x14ac:dyDescent="0.15">
      <c r="A80" s="383"/>
      <c r="B80">
        <v>1312200790</v>
      </c>
      <c r="D80" s="278" t="s">
        <v>1387</v>
      </c>
      <c r="F80" s="157">
        <v>194431</v>
      </c>
      <c r="H80" s="157">
        <v>124114</v>
      </c>
      <c r="J80" s="157">
        <v>121791</v>
      </c>
      <c r="K80" s="383"/>
    </row>
    <row r="81" spans="1:11" s="182" customFormat="1" x14ac:dyDescent="0.15">
      <c r="A81" s="383"/>
      <c r="B81">
        <v>1312200920</v>
      </c>
      <c r="D81" s="278" t="s">
        <v>1388</v>
      </c>
      <c r="E81" s="183"/>
      <c r="F81" s="157">
        <v>0</v>
      </c>
      <c r="G81" s="166"/>
      <c r="H81" s="157">
        <v>0</v>
      </c>
      <c r="I81" s="166"/>
      <c r="J81" s="157">
        <v>-16905</v>
      </c>
      <c r="K81" s="383"/>
    </row>
    <row r="82" spans="1:11" s="182" customFormat="1" x14ac:dyDescent="0.15">
      <c r="A82" s="383"/>
      <c r="B82">
        <v>1312201420</v>
      </c>
      <c r="D82" s="278" t="s">
        <v>2051</v>
      </c>
      <c r="E82" s="183"/>
      <c r="F82" s="157">
        <v>0</v>
      </c>
      <c r="G82" s="166"/>
      <c r="H82" s="157">
        <v>143640</v>
      </c>
      <c r="I82" s="166"/>
      <c r="J82" s="157">
        <v>0</v>
      </c>
      <c r="K82" s="383"/>
    </row>
    <row r="83" spans="1:11" s="182" customFormat="1" x14ac:dyDescent="0.15">
      <c r="A83" s="383"/>
      <c r="B83">
        <v>1312210420</v>
      </c>
      <c r="D83" s="278" t="s">
        <v>2056</v>
      </c>
      <c r="E83" s="183"/>
      <c r="F83" s="157">
        <v>168981</v>
      </c>
      <c r="G83" s="166"/>
      <c r="H83" s="157">
        <v>0</v>
      </c>
      <c r="I83" s="166"/>
      <c r="J83" s="157">
        <v>85724.28</v>
      </c>
      <c r="K83" s="383"/>
    </row>
    <row r="84" spans="1:11" x14ac:dyDescent="0.15">
      <c r="A84" s="383"/>
      <c r="B84">
        <v>1312210920</v>
      </c>
      <c r="D84" s="278" t="s">
        <v>1700</v>
      </c>
      <c r="F84" s="157">
        <v>20417262</v>
      </c>
      <c r="H84" s="157">
        <v>20271332</v>
      </c>
      <c r="J84" s="157">
        <v>20590972.359999999</v>
      </c>
      <c r="K84" s="383"/>
    </row>
    <row r="85" spans="1:11" x14ac:dyDescent="0.15">
      <c r="A85" s="383"/>
      <c r="B85">
        <v>1312220920</v>
      </c>
      <c r="D85" s="278" t="s">
        <v>363</v>
      </c>
      <c r="F85" s="157">
        <v>4967242</v>
      </c>
      <c r="H85" s="157">
        <v>4969622</v>
      </c>
      <c r="J85" s="157">
        <v>5131015.74</v>
      </c>
      <c r="K85" s="383"/>
    </row>
    <row r="86" spans="1:11" x14ac:dyDescent="0.15">
      <c r="A86" s="383"/>
      <c r="B86">
        <v>1312230920</v>
      </c>
      <c r="D86" s="278" t="s">
        <v>1701</v>
      </c>
      <c r="F86" s="157">
        <v>37000</v>
      </c>
      <c r="H86" s="157">
        <v>20000</v>
      </c>
      <c r="J86" s="157">
        <v>37544.5</v>
      </c>
      <c r="K86" s="383"/>
    </row>
    <row r="87" spans="1:11" x14ac:dyDescent="0.15">
      <c r="A87" s="383"/>
      <c r="B87">
        <v>1312500440</v>
      </c>
      <c r="D87" s="278" t="s">
        <v>1702</v>
      </c>
      <c r="F87" s="157">
        <v>2424718</v>
      </c>
      <c r="H87" s="157">
        <v>2397494</v>
      </c>
      <c r="J87" s="157">
        <v>2180110.46</v>
      </c>
      <c r="K87" s="383"/>
    </row>
    <row r="88" spans="1:11" x14ac:dyDescent="0.15">
      <c r="A88" s="383"/>
      <c r="B88">
        <v>1312501440</v>
      </c>
      <c r="D88" s="278" t="s">
        <v>287</v>
      </c>
      <c r="F88" s="157">
        <v>1732062</v>
      </c>
      <c r="H88" s="157">
        <v>928125</v>
      </c>
      <c r="J88" s="157">
        <v>573233.4</v>
      </c>
      <c r="K88" s="383"/>
    </row>
    <row r="89" spans="1:11" x14ac:dyDescent="0.15">
      <c r="A89" s="383"/>
      <c r="B89">
        <v>1312501920</v>
      </c>
      <c r="D89" s="278" t="s">
        <v>365</v>
      </c>
      <c r="F89" s="157">
        <v>1968518</v>
      </c>
      <c r="H89" s="157">
        <v>1907350</v>
      </c>
      <c r="J89" s="157">
        <v>1498941</v>
      </c>
      <c r="K89" s="383"/>
    </row>
    <row r="90" spans="1:11" s="182" customFormat="1" x14ac:dyDescent="0.15">
      <c r="A90" s="383"/>
      <c r="B90">
        <v>1313200410</v>
      </c>
      <c r="D90" s="278" t="s">
        <v>1703</v>
      </c>
      <c r="E90" s="183"/>
      <c r="F90" s="157">
        <v>25000</v>
      </c>
      <c r="G90" s="166"/>
      <c r="H90" s="157">
        <v>25000</v>
      </c>
      <c r="I90" s="166"/>
      <c r="J90" s="157">
        <v>175332</v>
      </c>
      <c r="K90" s="383"/>
    </row>
    <row r="91" spans="1:11" s="182" customFormat="1" x14ac:dyDescent="0.15">
      <c r="A91" s="383"/>
      <c r="B91">
        <v>1313200440</v>
      </c>
      <c r="D91" s="278" t="s">
        <v>1391</v>
      </c>
      <c r="E91" s="183"/>
      <c r="F91" s="157">
        <v>0</v>
      </c>
      <c r="G91" s="166"/>
      <c r="H91" s="157">
        <v>0</v>
      </c>
      <c r="I91" s="166"/>
      <c r="J91" s="157">
        <v>0</v>
      </c>
      <c r="K91" s="383"/>
    </row>
    <row r="92" spans="1:11" x14ac:dyDescent="0.15">
      <c r="A92" s="383"/>
      <c r="B92">
        <v>1313200920</v>
      </c>
      <c r="D92" s="278" t="s">
        <v>56</v>
      </c>
      <c r="F92" s="157">
        <v>2200000</v>
      </c>
      <c r="H92" s="157">
        <v>1500000</v>
      </c>
      <c r="J92" s="157">
        <v>1491386.98</v>
      </c>
      <c r="K92" s="383"/>
    </row>
    <row r="93" spans="1:11" s="182" customFormat="1" x14ac:dyDescent="0.15">
      <c r="A93" s="383"/>
      <c r="B93">
        <v>1313200923</v>
      </c>
      <c r="D93" s="278" t="s">
        <v>2048</v>
      </c>
      <c r="E93" s="183"/>
      <c r="F93" s="157">
        <v>526240</v>
      </c>
      <c r="G93" s="166"/>
      <c r="H93" s="157">
        <v>526240</v>
      </c>
      <c r="I93" s="166"/>
      <c r="J93" s="157">
        <v>128196.65</v>
      </c>
      <c r="K93" s="383"/>
    </row>
    <row r="94" spans="1:11" x14ac:dyDescent="0.15">
      <c r="A94" s="383"/>
      <c r="B94">
        <v>1313201920</v>
      </c>
      <c r="D94" s="278" t="s">
        <v>1704</v>
      </c>
      <c r="F94" s="157">
        <v>535201</v>
      </c>
      <c r="H94" s="157">
        <v>469018</v>
      </c>
      <c r="J94" s="157">
        <v>367953</v>
      </c>
      <c r="K94" s="383"/>
    </row>
    <row r="95" spans="1:11" s="182" customFormat="1" x14ac:dyDescent="0.15">
      <c r="A95" s="383"/>
      <c r="B95">
        <v>1313201921</v>
      </c>
      <c r="D95" s="278" t="s">
        <v>1493</v>
      </c>
      <c r="E95" s="183"/>
      <c r="F95" s="157">
        <v>581423</v>
      </c>
      <c r="G95" s="166"/>
      <c r="H95" s="157">
        <v>558662</v>
      </c>
      <c r="I95" s="166"/>
      <c r="J95" s="157">
        <v>557789.01</v>
      </c>
      <c r="K95" s="383"/>
    </row>
    <row r="96" spans="1:11" s="182" customFormat="1" x14ac:dyDescent="0.15">
      <c r="A96" s="383"/>
      <c r="B96">
        <v>1313201922</v>
      </c>
      <c r="D96" s="278" t="s">
        <v>1492</v>
      </c>
      <c r="E96" s="183"/>
      <c r="F96" s="157">
        <v>562200</v>
      </c>
      <c r="G96" s="166"/>
      <c r="H96" s="157">
        <v>593250</v>
      </c>
      <c r="I96" s="166"/>
      <c r="J96" s="157">
        <v>547829.42000000004</v>
      </c>
      <c r="K96" s="383"/>
    </row>
    <row r="97" spans="1:11" s="182" customFormat="1" x14ac:dyDescent="0.15">
      <c r="A97" s="383"/>
      <c r="B97">
        <v>1313201923</v>
      </c>
      <c r="D97" s="278" t="s">
        <v>1538</v>
      </c>
      <c r="E97" s="183"/>
      <c r="F97" s="157">
        <v>3103753</v>
      </c>
      <c r="G97" s="166"/>
      <c r="H97" s="157">
        <v>3265998</v>
      </c>
      <c r="I97" s="166"/>
      <c r="J97" s="157">
        <v>3018753.44</v>
      </c>
      <c r="K97" s="383"/>
    </row>
    <row r="98" spans="1:11" x14ac:dyDescent="0.15">
      <c r="A98" s="383"/>
      <c r="B98">
        <v>1313202920</v>
      </c>
      <c r="D98" s="278" t="s">
        <v>1156</v>
      </c>
      <c r="F98" s="157">
        <v>0</v>
      </c>
      <c r="H98" s="157">
        <v>0</v>
      </c>
      <c r="J98" s="157">
        <v>-198555.69</v>
      </c>
      <c r="K98" s="383"/>
    </row>
    <row r="99" spans="1:11" x14ac:dyDescent="0.15">
      <c r="A99" s="383"/>
      <c r="B99">
        <v>1313204920</v>
      </c>
      <c r="D99" s="278" t="s">
        <v>367</v>
      </c>
      <c r="F99" s="157">
        <v>335000</v>
      </c>
      <c r="H99" s="157">
        <v>335000</v>
      </c>
      <c r="J99" s="157">
        <v>332368.82</v>
      </c>
      <c r="K99" s="383"/>
    </row>
    <row r="100" spans="1:11" x14ac:dyDescent="0.15">
      <c r="A100" s="383"/>
      <c r="B100">
        <v>1313205920</v>
      </c>
      <c r="D100" s="278" t="s">
        <v>368</v>
      </c>
      <c r="F100" s="157">
        <v>997500</v>
      </c>
      <c r="H100" s="157">
        <v>904000</v>
      </c>
      <c r="J100" s="157">
        <v>989317.98</v>
      </c>
      <c r="K100" s="383"/>
    </row>
    <row r="101" spans="1:11" x14ac:dyDescent="0.15">
      <c r="A101" s="383"/>
      <c r="B101">
        <v>1313213920</v>
      </c>
      <c r="D101" s="278" t="s">
        <v>369</v>
      </c>
      <c r="F101" s="157">
        <v>4969000</v>
      </c>
      <c r="H101" s="157">
        <v>4522000</v>
      </c>
      <c r="J101" s="157">
        <v>4211619.9000000004</v>
      </c>
      <c r="K101" s="383"/>
    </row>
    <row r="102" spans="1:11" x14ac:dyDescent="0.15">
      <c r="A102" s="383"/>
      <c r="B102">
        <v>1313221920</v>
      </c>
      <c r="D102" s="278" t="s">
        <v>370</v>
      </c>
      <c r="F102" s="157">
        <v>35194</v>
      </c>
      <c r="H102" s="157">
        <v>33269</v>
      </c>
      <c r="J102" s="157">
        <v>47309.62</v>
      </c>
      <c r="K102" s="383"/>
    </row>
    <row r="103" spans="1:11" x14ac:dyDescent="0.15">
      <c r="A103" s="383"/>
      <c r="B103">
        <v>1313222920</v>
      </c>
      <c r="D103" s="278" t="s">
        <v>371</v>
      </c>
      <c r="F103" s="157">
        <v>211000</v>
      </c>
      <c r="H103" s="157">
        <v>211000</v>
      </c>
      <c r="J103" s="157">
        <v>431339.95</v>
      </c>
      <c r="K103" s="383"/>
    </row>
    <row r="104" spans="1:11" x14ac:dyDescent="0.15">
      <c r="A104" s="383"/>
      <c r="B104">
        <v>1313223920</v>
      </c>
      <c r="D104" s="278" t="s">
        <v>1705</v>
      </c>
      <c r="F104" s="157">
        <v>279915</v>
      </c>
      <c r="H104" s="157">
        <v>262500</v>
      </c>
      <c r="J104" s="157">
        <v>265811.71999999997</v>
      </c>
      <c r="K104" s="383"/>
    </row>
    <row r="105" spans="1:11" x14ac:dyDescent="0.15">
      <c r="A105" s="383"/>
      <c r="B105">
        <v>1313300920</v>
      </c>
      <c r="D105" s="278" t="s">
        <v>373</v>
      </c>
      <c r="F105" s="157">
        <v>484620</v>
      </c>
      <c r="H105" s="157">
        <v>484620</v>
      </c>
      <c r="J105" s="157">
        <v>560814.54</v>
      </c>
      <c r="K105" s="383"/>
    </row>
    <row r="106" spans="1:11" x14ac:dyDescent="0.15">
      <c r="A106" s="383"/>
      <c r="B106">
        <v>1313304920</v>
      </c>
      <c r="D106" s="278" t="s">
        <v>374</v>
      </c>
      <c r="F106" s="157">
        <v>158964</v>
      </c>
      <c r="H106" s="157">
        <v>142000</v>
      </c>
      <c r="J106" s="157">
        <v>128913.12</v>
      </c>
      <c r="K106" s="383"/>
    </row>
    <row r="107" spans="1:11" x14ac:dyDescent="0.15">
      <c r="A107" s="383"/>
      <c r="B107">
        <v>1313305920</v>
      </c>
      <c r="D107" s="278" t="s">
        <v>1706</v>
      </c>
      <c r="F107" s="157">
        <v>369500</v>
      </c>
      <c r="H107" s="157">
        <v>372000</v>
      </c>
      <c r="J107" s="157">
        <v>330069.53999999998</v>
      </c>
      <c r="K107" s="383"/>
    </row>
    <row r="108" spans="1:11" x14ac:dyDescent="0.15">
      <c r="A108" s="383"/>
      <c r="B108">
        <v>1313313920</v>
      </c>
      <c r="D108" s="278" t="s">
        <v>1707</v>
      </c>
      <c r="F108" s="157">
        <v>2112000</v>
      </c>
      <c r="H108" s="157">
        <v>2110000</v>
      </c>
      <c r="J108" s="157">
        <v>2212143.06</v>
      </c>
      <c r="K108" s="383"/>
    </row>
    <row r="109" spans="1:11" x14ac:dyDescent="0.15">
      <c r="A109" s="383"/>
      <c r="B109">
        <v>1313317410</v>
      </c>
      <c r="D109" s="278" t="s">
        <v>289</v>
      </c>
      <c r="F109" s="157">
        <v>1145000</v>
      </c>
      <c r="H109" s="157">
        <v>1125000</v>
      </c>
      <c r="J109" s="157">
        <v>1090756.5</v>
      </c>
      <c r="K109" s="383"/>
    </row>
    <row r="110" spans="1:11" x14ac:dyDescent="0.15">
      <c r="A110" s="383"/>
      <c r="B110">
        <v>1313330920</v>
      </c>
      <c r="D110" s="278" t="s">
        <v>378</v>
      </c>
      <c r="F110" s="157">
        <v>268000</v>
      </c>
      <c r="H110" s="157">
        <v>264170</v>
      </c>
      <c r="J110" s="157">
        <v>204941.61</v>
      </c>
      <c r="K110" s="383"/>
    </row>
    <row r="111" spans="1:11" x14ac:dyDescent="0.15">
      <c r="A111" s="383"/>
      <c r="B111">
        <v>1313700920</v>
      </c>
      <c r="D111" s="278" t="s">
        <v>379</v>
      </c>
      <c r="F111" s="157">
        <v>12253</v>
      </c>
      <c r="H111" s="157">
        <v>5000</v>
      </c>
      <c r="J111" s="157">
        <v>4999</v>
      </c>
      <c r="K111" s="383"/>
    </row>
    <row r="112" spans="1:11" x14ac:dyDescent="0.15">
      <c r="A112" s="383"/>
      <c r="B112">
        <v>1313704920</v>
      </c>
      <c r="D112" s="278" t="s">
        <v>380</v>
      </c>
      <c r="F112" s="157">
        <v>39126</v>
      </c>
      <c r="H112" s="157">
        <v>37499</v>
      </c>
      <c r="J112" s="157">
        <v>37885.980000000003</v>
      </c>
      <c r="K112" s="383"/>
    </row>
    <row r="113" spans="1:11" x14ac:dyDescent="0.15">
      <c r="A113" s="383"/>
      <c r="B113">
        <v>1313705920</v>
      </c>
      <c r="D113" s="278" t="s">
        <v>381</v>
      </c>
      <c r="F113" s="157">
        <v>122870</v>
      </c>
      <c r="H113" s="157">
        <v>117715</v>
      </c>
      <c r="J113" s="157">
        <v>118926.9</v>
      </c>
      <c r="K113" s="383"/>
    </row>
    <row r="114" spans="1:11" x14ac:dyDescent="0.15">
      <c r="A114" s="383"/>
      <c r="B114">
        <v>1315700700</v>
      </c>
      <c r="D114" s="278" t="s">
        <v>290</v>
      </c>
      <c r="F114" s="157">
        <v>14200000</v>
      </c>
      <c r="H114" s="157">
        <v>14200000</v>
      </c>
      <c r="J114" s="157">
        <v>14200002</v>
      </c>
      <c r="K114" s="383"/>
    </row>
    <row r="115" spans="1:11" x14ac:dyDescent="0.15">
      <c r="A115" s="383"/>
      <c r="B115">
        <v>1315777700</v>
      </c>
      <c r="D115" s="278" t="s">
        <v>291</v>
      </c>
      <c r="F115" s="157">
        <v>16000000</v>
      </c>
      <c r="H115" s="157">
        <v>16000000</v>
      </c>
      <c r="J115" s="157">
        <v>16000000</v>
      </c>
      <c r="K115" s="383"/>
    </row>
    <row r="116" spans="1:11" x14ac:dyDescent="0.15">
      <c r="A116" s="383"/>
      <c r="B116">
        <v>1315788700</v>
      </c>
      <c r="D116" s="278" t="s">
        <v>292</v>
      </c>
      <c r="F116" s="157">
        <v>7000000</v>
      </c>
      <c r="H116" s="157">
        <v>7000000</v>
      </c>
      <c r="J116" s="157">
        <v>7000000</v>
      </c>
      <c r="K116" s="383"/>
    </row>
    <row r="117" spans="1:11" x14ac:dyDescent="0.15">
      <c r="A117" s="383"/>
      <c r="B117">
        <v>1317100920</v>
      </c>
      <c r="D117" s="278" t="s">
        <v>1708</v>
      </c>
      <c r="F117" s="157">
        <v>189597</v>
      </c>
      <c r="H117" s="157">
        <v>184500</v>
      </c>
      <c r="J117" s="157">
        <v>141877.59</v>
      </c>
      <c r="K117" s="383"/>
    </row>
    <row r="118" spans="1:11" x14ac:dyDescent="0.15">
      <c r="A118" s="383"/>
      <c r="B118">
        <v>1317100990</v>
      </c>
      <c r="D118" s="278" t="s">
        <v>493</v>
      </c>
      <c r="F118" s="157">
        <v>1343395</v>
      </c>
      <c r="H118" s="157">
        <v>1590131</v>
      </c>
      <c r="J118" s="157">
        <v>1618972.19</v>
      </c>
      <c r="K118" s="383"/>
    </row>
    <row r="119" spans="1:11" x14ac:dyDescent="0.15">
      <c r="A119" s="383"/>
      <c r="B119">
        <v>1317200920</v>
      </c>
      <c r="D119" s="278" t="s">
        <v>1709</v>
      </c>
      <c r="F119" s="157">
        <v>45800</v>
      </c>
      <c r="H119" s="157">
        <v>45800</v>
      </c>
      <c r="J119" s="157">
        <v>33810.5</v>
      </c>
      <c r="K119" s="383"/>
    </row>
    <row r="120" spans="1:11" x14ac:dyDescent="0.15">
      <c r="A120" s="383"/>
      <c r="B120">
        <v>1317300920</v>
      </c>
      <c r="D120" s="278" t="s">
        <v>1710</v>
      </c>
      <c r="F120" s="157">
        <v>2199000</v>
      </c>
      <c r="H120" s="157">
        <v>2083486</v>
      </c>
      <c r="J120" s="157">
        <v>2288792.35</v>
      </c>
      <c r="K120" s="383"/>
    </row>
    <row r="121" spans="1:11" x14ac:dyDescent="0.15">
      <c r="A121" s="383"/>
      <c r="B121">
        <v>1317301920</v>
      </c>
      <c r="D121" s="278" t="s">
        <v>385</v>
      </c>
      <c r="F121" s="157">
        <v>51450</v>
      </c>
      <c r="H121" s="157">
        <v>51450</v>
      </c>
      <c r="J121" s="157">
        <v>33292.75</v>
      </c>
      <c r="K121" s="383"/>
    </row>
    <row r="122" spans="1:11" x14ac:dyDescent="0.15">
      <c r="A122" s="383"/>
      <c r="B122">
        <v>1317500410</v>
      </c>
      <c r="D122" s="278" t="s">
        <v>293</v>
      </c>
      <c r="F122" s="157">
        <v>200190</v>
      </c>
      <c r="H122" s="157">
        <v>256155</v>
      </c>
      <c r="J122" s="157">
        <v>162731.1</v>
      </c>
      <c r="K122" s="383"/>
    </row>
    <row r="123" spans="1:11" x14ac:dyDescent="0.15">
      <c r="A123" s="383"/>
      <c r="B123">
        <v>1317600920</v>
      </c>
      <c r="D123" s="278" t="s">
        <v>1397</v>
      </c>
      <c r="F123" s="157">
        <v>1347068</v>
      </c>
      <c r="H123" s="157">
        <v>1307861</v>
      </c>
      <c r="J123" s="157">
        <v>822746</v>
      </c>
      <c r="K123" s="383"/>
    </row>
    <row r="124" spans="1:11" x14ac:dyDescent="0.15">
      <c r="A124" s="383"/>
      <c r="B124">
        <v>1317700920</v>
      </c>
      <c r="D124" s="278" t="s">
        <v>1711</v>
      </c>
      <c r="F124" s="157">
        <v>272000</v>
      </c>
      <c r="H124" s="157">
        <v>260553</v>
      </c>
      <c r="J124" s="157">
        <v>272883.83</v>
      </c>
      <c r="K124" s="383"/>
    </row>
    <row r="125" spans="1:11" x14ac:dyDescent="0.15">
      <c r="A125" s="383"/>
      <c r="B125">
        <v>1317701920</v>
      </c>
      <c r="D125" s="278" t="s">
        <v>1712</v>
      </c>
      <c r="F125" s="157">
        <v>497137</v>
      </c>
      <c r="H125" s="157">
        <v>497137</v>
      </c>
      <c r="J125" s="157">
        <v>497207.19</v>
      </c>
      <c r="K125" s="383"/>
    </row>
    <row r="126" spans="1:11" x14ac:dyDescent="0.15">
      <c r="A126" s="383"/>
      <c r="B126">
        <v>1317702920</v>
      </c>
      <c r="D126" s="278" t="s">
        <v>389</v>
      </c>
      <c r="F126" s="157">
        <v>55000</v>
      </c>
      <c r="H126" s="157">
        <v>55000</v>
      </c>
      <c r="J126" s="157">
        <v>70125</v>
      </c>
      <c r="K126" s="383"/>
    </row>
    <row r="127" spans="1:11" x14ac:dyDescent="0.15">
      <c r="A127" s="383"/>
      <c r="B127">
        <v>1317800920</v>
      </c>
      <c r="D127" s="278" t="s">
        <v>390</v>
      </c>
      <c r="F127" s="157">
        <v>6195000</v>
      </c>
      <c r="H127" s="157">
        <v>5879876</v>
      </c>
      <c r="J127" s="157">
        <v>7613499.3399999999</v>
      </c>
      <c r="K127" s="383"/>
    </row>
    <row r="128" spans="1:11" x14ac:dyDescent="0.15">
      <c r="A128" s="383"/>
      <c r="B128">
        <v>1317801920</v>
      </c>
      <c r="D128" s="278" t="s">
        <v>1713</v>
      </c>
      <c r="F128" s="157">
        <v>2838000</v>
      </c>
      <c r="H128" s="157">
        <v>2392376</v>
      </c>
      <c r="J128" s="157">
        <v>2482037.56</v>
      </c>
      <c r="K128" s="383"/>
    </row>
    <row r="129" spans="1:11" x14ac:dyDescent="0.15">
      <c r="A129" s="383"/>
      <c r="B129">
        <v>1317900790</v>
      </c>
      <c r="D129" s="278" t="s">
        <v>1155</v>
      </c>
      <c r="F129" s="157">
        <v>36667</v>
      </c>
      <c r="H129" s="157">
        <v>36667</v>
      </c>
      <c r="J129" s="157">
        <v>40000</v>
      </c>
      <c r="K129" s="383"/>
    </row>
    <row r="130" spans="1:11" x14ac:dyDescent="0.15">
      <c r="A130" s="383"/>
      <c r="B130">
        <v>1317904920</v>
      </c>
      <c r="D130" s="278" t="s">
        <v>1714</v>
      </c>
      <c r="F130" s="157">
        <v>125000</v>
      </c>
      <c r="H130" s="157">
        <v>105000</v>
      </c>
      <c r="J130" s="157">
        <v>116601.28</v>
      </c>
      <c r="K130" s="383"/>
    </row>
    <row r="131" spans="1:11" x14ac:dyDescent="0.15">
      <c r="A131" s="383"/>
      <c r="B131">
        <v>1317905920</v>
      </c>
      <c r="D131" s="278" t="s">
        <v>1715</v>
      </c>
      <c r="F131" s="157">
        <v>56218</v>
      </c>
      <c r="H131" s="157">
        <v>52000</v>
      </c>
      <c r="J131" s="157">
        <v>58039.13</v>
      </c>
      <c r="K131" s="383"/>
    </row>
    <row r="132" spans="1:11" x14ac:dyDescent="0.15">
      <c r="A132" s="383"/>
      <c r="B132">
        <v>1317922920</v>
      </c>
      <c r="D132" s="278" t="s">
        <v>1716</v>
      </c>
      <c r="F132" s="157">
        <v>26271</v>
      </c>
      <c r="H132" s="157">
        <v>26271</v>
      </c>
      <c r="J132" s="157">
        <v>32109</v>
      </c>
      <c r="K132" s="383"/>
    </row>
    <row r="133" spans="1:11" x14ac:dyDescent="0.15">
      <c r="A133" s="383"/>
      <c r="B133">
        <v>1317950790</v>
      </c>
      <c r="D133" s="278" t="s">
        <v>294</v>
      </c>
      <c r="F133" s="157">
        <v>503900</v>
      </c>
      <c r="H133" s="157">
        <v>508900</v>
      </c>
      <c r="J133" s="157">
        <v>467424</v>
      </c>
      <c r="K133" s="383"/>
    </row>
    <row r="134" spans="1:11" x14ac:dyDescent="0.15">
      <c r="A134" s="383"/>
      <c r="B134">
        <v>1317951920</v>
      </c>
      <c r="D134" s="278" t="s">
        <v>395</v>
      </c>
      <c r="F134" s="157">
        <v>90000</v>
      </c>
      <c r="H134" s="157">
        <v>90000</v>
      </c>
      <c r="J134" s="157">
        <v>36666.629999999997</v>
      </c>
      <c r="K134" s="383"/>
    </row>
    <row r="135" spans="1:11" s="182" customFormat="1" x14ac:dyDescent="0.15">
      <c r="A135" s="383"/>
      <c r="B135">
        <v>1317952920</v>
      </c>
      <c r="D135" s="278" t="s">
        <v>1717</v>
      </c>
      <c r="E135" s="183"/>
      <c r="F135" s="157">
        <v>0</v>
      </c>
      <c r="G135" s="166"/>
      <c r="H135" s="157">
        <v>0</v>
      </c>
      <c r="I135" s="166"/>
      <c r="J135" s="157">
        <v>0</v>
      </c>
      <c r="K135" s="383"/>
    </row>
    <row r="136" spans="1:11" x14ac:dyDescent="0.15">
      <c r="A136" s="383"/>
      <c r="B136">
        <v>1317960920</v>
      </c>
      <c r="D136" s="317" t="s">
        <v>397</v>
      </c>
      <c r="F136" s="157">
        <v>350000</v>
      </c>
      <c r="H136" s="157">
        <v>350000</v>
      </c>
      <c r="J136" s="165">
        <v>530179</v>
      </c>
      <c r="K136" s="383"/>
    </row>
    <row r="137" spans="1:11" s="182" customFormat="1" ht="14" thickBot="1" x14ac:dyDescent="0.2">
      <c r="A137" s="383"/>
      <c r="B137">
        <v>1319999920</v>
      </c>
      <c r="D137" s="279" t="s">
        <v>398</v>
      </c>
      <c r="E137" s="183"/>
      <c r="F137" s="158">
        <v>0</v>
      </c>
      <c r="G137" s="166"/>
      <c r="H137" s="158">
        <v>0</v>
      </c>
      <c r="I137" s="166"/>
      <c r="J137" s="158">
        <v>4388</v>
      </c>
      <c r="K137" s="383"/>
    </row>
    <row r="138" spans="1:11" x14ac:dyDescent="0.15">
      <c r="A138" s="383"/>
      <c r="D138" s="283" t="s">
        <v>1188</v>
      </c>
      <c r="F138" s="178">
        <v>104799477</v>
      </c>
      <c r="G138" s="169">
        <v>0</v>
      </c>
      <c r="H138" s="178">
        <v>101709626</v>
      </c>
      <c r="I138" s="169">
        <v>0</v>
      </c>
      <c r="J138" s="178">
        <v>101877008.48999996</v>
      </c>
      <c r="K138" s="383"/>
    </row>
    <row r="139" spans="1:11" x14ac:dyDescent="0.15">
      <c r="A139" s="383"/>
      <c r="B139">
        <v>1322000410</v>
      </c>
      <c r="D139" s="278" t="s">
        <v>334</v>
      </c>
      <c r="F139" s="157">
        <v>410000</v>
      </c>
      <c r="H139" s="157">
        <v>300000</v>
      </c>
      <c r="J139" s="157">
        <v>188280</v>
      </c>
      <c r="K139" s="383"/>
    </row>
    <row r="140" spans="1:11" x14ac:dyDescent="0.15">
      <c r="A140" s="383"/>
      <c r="B140">
        <v>1322000411</v>
      </c>
      <c r="D140" s="278" t="s">
        <v>335</v>
      </c>
      <c r="F140" s="157">
        <v>70000</v>
      </c>
      <c r="H140" s="157">
        <v>120000</v>
      </c>
      <c r="J140" s="157">
        <v>104776</v>
      </c>
      <c r="K140" s="383"/>
    </row>
    <row r="141" spans="1:11" x14ac:dyDescent="0.15">
      <c r="A141" s="383"/>
      <c r="B141">
        <v>1322000740</v>
      </c>
      <c r="D141" s="278" t="s">
        <v>336</v>
      </c>
      <c r="F141" s="157">
        <v>69000</v>
      </c>
      <c r="H141" s="157">
        <v>91000</v>
      </c>
      <c r="J141" s="157">
        <v>91000</v>
      </c>
      <c r="K141" s="383"/>
    </row>
    <row r="142" spans="1:11" x14ac:dyDescent="0.15">
      <c r="A142" s="383"/>
      <c r="B142">
        <v>1322000790</v>
      </c>
      <c r="D142" s="278" t="s">
        <v>337</v>
      </c>
      <c r="F142" s="157">
        <v>177000</v>
      </c>
      <c r="H142" s="157">
        <v>177065</v>
      </c>
      <c r="J142" s="157">
        <v>177065</v>
      </c>
      <c r="K142" s="383"/>
    </row>
    <row r="143" spans="1:11" x14ac:dyDescent="0.15">
      <c r="A143" s="383"/>
      <c r="B143">
        <v>1322000920</v>
      </c>
      <c r="D143" s="278" t="s">
        <v>494</v>
      </c>
      <c r="F143" s="157">
        <v>1950000</v>
      </c>
      <c r="H143" s="157">
        <v>1832690</v>
      </c>
      <c r="J143" s="157">
        <v>1937369</v>
      </c>
      <c r="K143" s="383"/>
    </row>
    <row r="144" spans="1:11" s="182" customFormat="1" x14ac:dyDescent="0.15">
      <c r="A144" s="383"/>
      <c r="B144">
        <v>1323000420</v>
      </c>
      <c r="D144" s="278" t="s">
        <v>338</v>
      </c>
      <c r="E144" s="183"/>
      <c r="F144" s="157">
        <v>5000</v>
      </c>
      <c r="G144" s="166"/>
      <c r="H144" s="157">
        <v>15000</v>
      </c>
      <c r="I144" s="166"/>
      <c r="J144" s="157">
        <v>17870</v>
      </c>
      <c r="K144" s="383"/>
    </row>
    <row r="145" spans="1:11" x14ac:dyDescent="0.15">
      <c r="A145" s="383"/>
      <c r="B145">
        <v>1325200220</v>
      </c>
      <c r="D145" s="278" t="s">
        <v>339</v>
      </c>
      <c r="F145" s="157">
        <v>1330000</v>
      </c>
      <c r="H145" s="157">
        <v>1330100</v>
      </c>
      <c r="J145" s="157">
        <v>1313580.94</v>
      </c>
      <c r="K145" s="383"/>
    </row>
    <row r="146" spans="1:11" x14ac:dyDescent="0.15">
      <c r="A146" s="383"/>
      <c r="B146">
        <v>1325200221</v>
      </c>
      <c r="D146" s="278" t="s">
        <v>1590</v>
      </c>
      <c r="F146" s="157">
        <v>20000</v>
      </c>
      <c r="H146" s="157">
        <v>10000</v>
      </c>
      <c r="J146" s="157">
        <v>14000</v>
      </c>
      <c r="K146" s="383"/>
    </row>
    <row r="147" spans="1:11" s="182" customFormat="1" x14ac:dyDescent="0.15">
      <c r="A147" s="383"/>
      <c r="B147">
        <v>1325200410</v>
      </c>
      <c r="D147" s="278" t="s">
        <v>1718</v>
      </c>
      <c r="E147" s="183"/>
      <c r="F147" s="157">
        <v>15000</v>
      </c>
      <c r="G147" s="166"/>
      <c r="H147" s="157">
        <v>10000</v>
      </c>
      <c r="I147" s="166"/>
      <c r="J147" s="157">
        <v>24100</v>
      </c>
      <c r="K147" s="383"/>
    </row>
    <row r="148" spans="1:11" x14ac:dyDescent="0.15">
      <c r="A148" s="383"/>
      <c r="B148">
        <v>1325200411</v>
      </c>
      <c r="D148" s="278" t="s">
        <v>1641</v>
      </c>
      <c r="F148" s="157">
        <v>45000</v>
      </c>
      <c r="H148" s="157">
        <v>45000</v>
      </c>
      <c r="J148" s="157">
        <v>45000</v>
      </c>
      <c r="K148" s="383"/>
    </row>
    <row r="149" spans="1:11" s="182" customFormat="1" x14ac:dyDescent="0.15">
      <c r="A149" s="383"/>
      <c r="B149">
        <v>1325200700</v>
      </c>
      <c r="D149" s="278" t="s">
        <v>341</v>
      </c>
      <c r="E149" s="183"/>
      <c r="F149" s="157">
        <v>100000</v>
      </c>
      <c r="G149" s="166"/>
      <c r="H149" s="157">
        <v>80000</v>
      </c>
      <c r="I149" s="166"/>
      <c r="J149" s="157">
        <v>120000</v>
      </c>
      <c r="K149" s="383"/>
    </row>
    <row r="150" spans="1:11" s="182" customFormat="1" x14ac:dyDescent="0.15">
      <c r="A150" s="383"/>
      <c r="B150">
        <v>1325200701</v>
      </c>
      <c r="D150" s="278" t="s">
        <v>2082</v>
      </c>
      <c r="E150" s="183"/>
      <c r="F150" s="157">
        <v>0</v>
      </c>
      <c r="G150" s="166"/>
      <c r="H150" s="157">
        <v>0</v>
      </c>
      <c r="I150" s="166"/>
      <c r="J150" s="157">
        <v>0</v>
      </c>
      <c r="K150" s="383"/>
    </row>
    <row r="151" spans="1:11" x14ac:dyDescent="0.15">
      <c r="A151" s="383"/>
      <c r="B151">
        <v>1325200920</v>
      </c>
      <c r="D151" s="278" t="s">
        <v>496</v>
      </c>
      <c r="F151" s="157">
        <v>1145000</v>
      </c>
      <c r="H151" s="157">
        <v>1145000</v>
      </c>
      <c r="J151" s="157">
        <v>1011382</v>
      </c>
      <c r="K151" s="383"/>
    </row>
    <row r="152" spans="1:11" x14ac:dyDescent="0.15">
      <c r="A152" s="383"/>
      <c r="B152">
        <v>1329300920</v>
      </c>
      <c r="D152" s="278" t="s">
        <v>497</v>
      </c>
      <c r="F152" s="157">
        <v>200000</v>
      </c>
      <c r="H152" s="157">
        <v>212562</v>
      </c>
      <c r="J152" s="157">
        <v>186562</v>
      </c>
      <c r="K152" s="383"/>
    </row>
    <row r="153" spans="1:11" x14ac:dyDescent="0.15">
      <c r="A153" s="383"/>
      <c r="B153">
        <v>1329300921</v>
      </c>
      <c r="D153" s="278" t="s">
        <v>1537</v>
      </c>
      <c r="F153" s="157">
        <v>150000</v>
      </c>
      <c r="H153" s="157">
        <v>165000</v>
      </c>
      <c r="J153" s="157">
        <v>84823.79</v>
      </c>
      <c r="K153" s="383"/>
    </row>
    <row r="154" spans="1:11" s="182" customFormat="1" ht="14" thickBot="1" x14ac:dyDescent="0.2">
      <c r="A154" s="383"/>
      <c r="D154" s="282"/>
      <c r="E154" s="183"/>
      <c r="F154" s="158"/>
      <c r="G154" s="166"/>
      <c r="H154" s="158"/>
      <c r="I154" s="165"/>
      <c r="J154" s="158"/>
      <c r="K154" s="383"/>
    </row>
    <row r="155" spans="1:11" x14ac:dyDescent="0.15">
      <c r="A155" s="383"/>
      <c r="D155" s="283" t="s">
        <v>1190</v>
      </c>
      <c r="F155" s="178">
        <v>5686000</v>
      </c>
      <c r="G155" s="169">
        <v>0</v>
      </c>
      <c r="H155" s="178">
        <v>5533417</v>
      </c>
      <c r="I155" s="169">
        <v>0</v>
      </c>
      <c r="J155" s="178">
        <v>5315808.7299999995</v>
      </c>
      <c r="K155" s="383"/>
    </row>
    <row r="156" spans="1:11" s="182" customFormat="1" x14ac:dyDescent="0.15">
      <c r="A156" s="383"/>
      <c r="B156">
        <v>1341000930</v>
      </c>
      <c r="D156" s="278" t="s">
        <v>401</v>
      </c>
      <c r="E156" s="183"/>
      <c r="F156" s="157">
        <v>7140000</v>
      </c>
      <c r="G156" s="166"/>
      <c r="H156" s="157">
        <v>6428103</v>
      </c>
      <c r="I156" s="166"/>
      <c r="J156" s="157">
        <v>6492412</v>
      </c>
      <c r="K156" s="383"/>
    </row>
    <row r="157" spans="1:11" x14ac:dyDescent="0.15">
      <c r="A157" s="383"/>
      <c r="B157">
        <v>1341000933</v>
      </c>
      <c r="D157" s="278" t="s">
        <v>402</v>
      </c>
      <c r="F157" s="157">
        <v>2250</v>
      </c>
      <c r="H157" s="157">
        <v>7500</v>
      </c>
      <c r="J157" s="157">
        <v>1999</v>
      </c>
      <c r="K157" s="383"/>
    </row>
    <row r="158" spans="1:11" x14ac:dyDescent="0.15">
      <c r="A158" s="383"/>
      <c r="B158">
        <v>1341000934</v>
      </c>
      <c r="D158" s="278" t="s">
        <v>1719</v>
      </c>
      <c r="F158" s="157">
        <v>144000</v>
      </c>
      <c r="H158" s="157">
        <v>127498</v>
      </c>
      <c r="J158" s="157">
        <v>127860</v>
      </c>
      <c r="K158" s="383"/>
    </row>
    <row r="159" spans="1:11" x14ac:dyDescent="0.15">
      <c r="A159" s="383"/>
      <c r="B159">
        <v>1341000935</v>
      </c>
      <c r="D159" s="278" t="s">
        <v>1720</v>
      </c>
      <c r="F159" s="157">
        <v>0</v>
      </c>
      <c r="H159" s="157">
        <v>0</v>
      </c>
      <c r="J159" s="157">
        <v>0</v>
      </c>
      <c r="K159" s="383"/>
    </row>
    <row r="160" spans="1:11" s="182" customFormat="1" x14ac:dyDescent="0.15">
      <c r="A160" s="383"/>
      <c r="B160">
        <v>1341000936</v>
      </c>
      <c r="D160" s="278" t="s">
        <v>404</v>
      </c>
      <c r="E160" s="183"/>
      <c r="F160" s="157">
        <v>22500</v>
      </c>
      <c r="G160" s="166"/>
      <c r="H160" s="157">
        <v>24600</v>
      </c>
      <c r="I160" s="166"/>
      <c r="J160" s="157">
        <v>26175</v>
      </c>
      <c r="K160" s="383"/>
    </row>
    <row r="161" spans="1:11" x14ac:dyDescent="0.15">
      <c r="A161" s="383"/>
      <c r="B161">
        <v>1341000937</v>
      </c>
      <c r="D161" s="278" t="s">
        <v>405</v>
      </c>
      <c r="F161" s="157">
        <v>0</v>
      </c>
      <c r="H161" s="157">
        <v>15000</v>
      </c>
      <c r="J161" s="157">
        <v>17399</v>
      </c>
      <c r="K161" s="383"/>
    </row>
    <row r="162" spans="1:11" x14ac:dyDescent="0.15">
      <c r="A162" s="383"/>
      <c r="B162">
        <v>1341000938</v>
      </c>
      <c r="D162" s="278" t="s">
        <v>1721</v>
      </c>
      <c r="F162" s="157">
        <v>420000</v>
      </c>
      <c r="H162" s="157">
        <v>253200</v>
      </c>
      <c r="J162" s="157">
        <v>137513</v>
      </c>
      <c r="K162" s="383"/>
    </row>
    <row r="163" spans="1:11" s="182" customFormat="1" x14ac:dyDescent="0.15">
      <c r="A163" s="383"/>
      <c r="B163">
        <v>1341000939</v>
      </c>
      <c r="D163" s="278" t="s">
        <v>1591</v>
      </c>
      <c r="E163" s="183"/>
      <c r="F163" s="157">
        <v>0</v>
      </c>
      <c r="G163" s="166"/>
      <c r="H163" s="157">
        <v>0</v>
      </c>
      <c r="I163" s="166"/>
      <c r="J163" s="157">
        <v>0</v>
      </c>
      <c r="K163" s="383"/>
    </row>
    <row r="164" spans="1:11" s="182" customFormat="1" x14ac:dyDescent="0.15">
      <c r="A164" s="383"/>
      <c r="B164">
        <v>1342200930</v>
      </c>
      <c r="D164" s="278" t="s">
        <v>406</v>
      </c>
      <c r="E164" s="183"/>
      <c r="F164" s="157">
        <v>122400</v>
      </c>
      <c r="G164" s="166"/>
      <c r="H164" s="157">
        <v>126000</v>
      </c>
      <c r="I164" s="166"/>
      <c r="J164" s="157">
        <v>128697</v>
      </c>
      <c r="K164" s="383"/>
    </row>
    <row r="165" spans="1:11" x14ac:dyDescent="0.15">
      <c r="A165" s="383"/>
      <c r="B165">
        <v>1342200933</v>
      </c>
      <c r="D165" s="278" t="s">
        <v>407</v>
      </c>
      <c r="F165" s="157">
        <v>122400</v>
      </c>
      <c r="H165" s="157">
        <v>112000</v>
      </c>
      <c r="J165" s="157">
        <v>107517</v>
      </c>
      <c r="K165" s="383"/>
    </row>
    <row r="166" spans="1:11" x14ac:dyDescent="0.15">
      <c r="A166" s="383"/>
      <c r="B166">
        <v>1342200934</v>
      </c>
      <c r="D166" s="278" t="s">
        <v>408</v>
      </c>
      <c r="F166" s="157">
        <v>136350</v>
      </c>
      <c r="H166" s="157">
        <v>141004.79999999999</v>
      </c>
      <c r="J166" s="157">
        <v>118142</v>
      </c>
      <c r="K166" s="383"/>
    </row>
    <row r="167" spans="1:11" x14ac:dyDescent="0.15">
      <c r="A167" s="383"/>
      <c r="B167">
        <v>1342200936</v>
      </c>
      <c r="D167" s="278" t="s">
        <v>409</v>
      </c>
      <c r="F167" s="157">
        <v>143622</v>
      </c>
      <c r="H167" s="157">
        <v>75000</v>
      </c>
      <c r="J167" s="157">
        <v>1089</v>
      </c>
      <c r="K167" s="383"/>
    </row>
    <row r="168" spans="1:11" x14ac:dyDescent="0.15">
      <c r="A168" s="383"/>
      <c r="B168">
        <v>1342200937</v>
      </c>
      <c r="D168" s="278" t="s">
        <v>1485</v>
      </c>
      <c r="F168" s="157">
        <v>0</v>
      </c>
      <c r="H168" s="157">
        <v>7500</v>
      </c>
      <c r="J168" s="157">
        <v>3703</v>
      </c>
      <c r="K168" s="383"/>
    </row>
    <row r="169" spans="1:11" x14ac:dyDescent="0.15">
      <c r="A169" s="383"/>
      <c r="B169">
        <v>1342400420</v>
      </c>
      <c r="D169" s="278" t="s">
        <v>1407</v>
      </c>
      <c r="F169" s="157">
        <v>2500</v>
      </c>
      <c r="H169" s="157">
        <v>1000</v>
      </c>
      <c r="J169" s="157">
        <v>647</v>
      </c>
      <c r="K169" s="383"/>
    </row>
    <row r="170" spans="1:11" s="182" customFormat="1" x14ac:dyDescent="0.15">
      <c r="A170" s="383"/>
      <c r="B170">
        <v>1342400931</v>
      </c>
      <c r="D170" s="278" t="s">
        <v>410</v>
      </c>
      <c r="E170" s="183"/>
      <c r="F170" s="157">
        <v>56400</v>
      </c>
      <c r="G170" s="166"/>
      <c r="H170" s="157">
        <v>30000</v>
      </c>
      <c r="I170" s="166"/>
      <c r="J170" s="157">
        <v>32860</v>
      </c>
      <c r="K170" s="383"/>
    </row>
    <row r="171" spans="1:11" x14ac:dyDescent="0.15">
      <c r="A171" s="383"/>
      <c r="B171">
        <v>1342400935</v>
      </c>
      <c r="D171" s="278" t="s">
        <v>411</v>
      </c>
      <c r="F171" s="157">
        <v>104964</v>
      </c>
      <c r="H171" s="157">
        <v>108000</v>
      </c>
      <c r="J171" s="157">
        <v>127398</v>
      </c>
      <c r="K171" s="383"/>
    </row>
    <row r="172" spans="1:11" s="182" customFormat="1" x14ac:dyDescent="0.15">
      <c r="A172" s="383"/>
      <c r="B172">
        <v>1342400936</v>
      </c>
      <c r="D172" s="278" t="s">
        <v>1408</v>
      </c>
      <c r="E172" s="183"/>
      <c r="F172" s="157">
        <v>0</v>
      </c>
      <c r="G172" s="166"/>
      <c r="H172" s="157">
        <v>0</v>
      </c>
      <c r="I172" s="166"/>
      <c r="J172" s="157">
        <v>2741</v>
      </c>
      <c r="K172" s="383"/>
    </row>
    <row r="173" spans="1:11" x14ac:dyDescent="0.15">
      <c r="A173" s="383"/>
      <c r="B173">
        <v>1342400937</v>
      </c>
      <c r="D173" s="278" t="s">
        <v>1592</v>
      </c>
      <c r="F173" s="157">
        <v>9000</v>
      </c>
      <c r="H173" s="157">
        <v>9000</v>
      </c>
      <c r="J173" s="157">
        <v>8650</v>
      </c>
      <c r="K173" s="383"/>
    </row>
    <row r="174" spans="1:11" s="182" customFormat="1" x14ac:dyDescent="0.15">
      <c r="A174" s="383"/>
      <c r="B174">
        <v>1342401930</v>
      </c>
      <c r="D174" s="278" t="s">
        <v>412</v>
      </c>
      <c r="E174" s="183"/>
      <c r="F174" s="157">
        <v>0</v>
      </c>
      <c r="G174" s="166"/>
      <c r="H174" s="157">
        <v>145800</v>
      </c>
      <c r="I174" s="166"/>
      <c r="J174" s="157">
        <v>162000</v>
      </c>
      <c r="K174" s="383"/>
    </row>
    <row r="175" spans="1:11" x14ac:dyDescent="0.15">
      <c r="A175" s="383"/>
      <c r="B175">
        <v>1342401931</v>
      </c>
      <c r="D175" s="278" t="s">
        <v>1549</v>
      </c>
      <c r="F175" s="157">
        <v>191520</v>
      </c>
      <c r="H175" s="157">
        <v>112500</v>
      </c>
      <c r="J175" s="157">
        <v>332777</v>
      </c>
      <c r="K175" s="383"/>
    </row>
    <row r="176" spans="1:11" s="182" customFormat="1" x14ac:dyDescent="0.15">
      <c r="A176" s="383"/>
      <c r="B176">
        <v>1343500420</v>
      </c>
      <c r="D176" s="278" t="s">
        <v>1191</v>
      </c>
      <c r="E176" s="183"/>
      <c r="F176" s="157">
        <v>1500</v>
      </c>
      <c r="G176" s="166"/>
      <c r="H176" s="157">
        <v>2000</v>
      </c>
      <c r="I176" s="166"/>
      <c r="J176" s="157">
        <v>1880</v>
      </c>
      <c r="K176" s="383"/>
    </row>
    <row r="177" spans="1:11" x14ac:dyDescent="0.15">
      <c r="A177" s="383"/>
      <c r="B177">
        <v>1343500930</v>
      </c>
      <c r="D177" s="278" t="s">
        <v>57</v>
      </c>
      <c r="F177" s="157">
        <v>47018</v>
      </c>
      <c r="H177" s="157">
        <v>16413.84</v>
      </c>
      <c r="J177" s="157">
        <v>12744</v>
      </c>
      <c r="K177" s="383"/>
    </row>
    <row r="178" spans="1:11" s="182" customFormat="1" x14ac:dyDescent="0.15">
      <c r="A178" s="383"/>
      <c r="B178">
        <v>1343500931</v>
      </c>
      <c r="D178" s="278" t="s">
        <v>413</v>
      </c>
      <c r="E178" s="183"/>
      <c r="F178" s="157">
        <v>278154</v>
      </c>
      <c r="G178" s="166"/>
      <c r="H178" s="157">
        <v>220870.8</v>
      </c>
      <c r="I178" s="166"/>
      <c r="J178" s="157">
        <v>230285</v>
      </c>
      <c r="K178" s="383"/>
    </row>
    <row r="179" spans="1:11" x14ac:dyDescent="0.15">
      <c r="A179" s="383"/>
      <c r="B179">
        <v>1343500932</v>
      </c>
      <c r="D179" s="278" t="s">
        <v>414</v>
      </c>
      <c r="F179" s="157">
        <v>693225</v>
      </c>
      <c r="H179" s="157">
        <v>653346</v>
      </c>
      <c r="J179" s="157">
        <v>554033</v>
      </c>
      <c r="K179" s="383"/>
    </row>
    <row r="180" spans="1:11" x14ac:dyDescent="0.15">
      <c r="A180" s="383"/>
      <c r="B180">
        <v>1343500934</v>
      </c>
      <c r="D180" s="278" t="s">
        <v>415</v>
      </c>
      <c r="F180" s="157">
        <v>415500</v>
      </c>
      <c r="H180" s="157">
        <v>385668</v>
      </c>
      <c r="J180" s="157">
        <v>351717</v>
      </c>
      <c r="K180" s="383"/>
    </row>
    <row r="181" spans="1:11" x14ac:dyDescent="0.15">
      <c r="A181" s="383"/>
      <c r="B181">
        <v>1343500935</v>
      </c>
      <c r="D181" s="278" t="s">
        <v>416</v>
      </c>
      <c r="F181" s="157">
        <v>114000</v>
      </c>
      <c r="H181" s="157">
        <v>81168</v>
      </c>
      <c r="J181" s="157">
        <v>118920</v>
      </c>
      <c r="K181" s="383"/>
    </row>
    <row r="182" spans="1:11" x14ac:dyDescent="0.15">
      <c r="A182" s="383"/>
      <c r="B182">
        <v>1343500937</v>
      </c>
      <c r="D182" s="278" t="s">
        <v>417</v>
      </c>
      <c r="F182" s="157">
        <v>44400</v>
      </c>
      <c r="H182" s="157">
        <v>30000</v>
      </c>
      <c r="J182" s="157">
        <v>38792</v>
      </c>
      <c r="K182" s="383"/>
    </row>
    <row r="183" spans="1:11" x14ac:dyDescent="0.15">
      <c r="A183" s="383"/>
      <c r="B183">
        <v>1343500939</v>
      </c>
      <c r="D183" s="278" t="s">
        <v>418</v>
      </c>
      <c r="F183" s="157">
        <v>143127</v>
      </c>
      <c r="H183" s="157">
        <v>120000</v>
      </c>
      <c r="J183" s="157">
        <v>181696</v>
      </c>
      <c r="K183" s="383"/>
    </row>
    <row r="184" spans="1:11" x14ac:dyDescent="0.15">
      <c r="A184" s="383"/>
      <c r="B184">
        <v>1343500940</v>
      </c>
      <c r="D184" s="278" t="s">
        <v>58</v>
      </c>
      <c r="F184" s="157">
        <v>0</v>
      </c>
      <c r="H184" s="157">
        <v>0</v>
      </c>
      <c r="J184" s="157">
        <v>0</v>
      </c>
      <c r="K184" s="383"/>
    </row>
    <row r="185" spans="1:11" x14ac:dyDescent="0.15">
      <c r="A185" s="383"/>
      <c r="B185">
        <v>1343500941</v>
      </c>
      <c r="D185" s="278" t="s">
        <v>1593</v>
      </c>
      <c r="F185" s="157">
        <v>0</v>
      </c>
      <c r="H185" s="157">
        <v>0</v>
      </c>
      <c r="J185" s="157">
        <v>0</v>
      </c>
      <c r="K185" s="383"/>
    </row>
    <row r="186" spans="1:11" s="182" customFormat="1" x14ac:dyDescent="0.15">
      <c r="A186" s="383"/>
      <c r="B186">
        <v>1343523410</v>
      </c>
      <c r="D186" s="278" t="s">
        <v>298</v>
      </c>
      <c r="E186" s="183"/>
      <c r="F186" s="157">
        <v>142000</v>
      </c>
      <c r="G186" s="166"/>
      <c r="H186" s="157">
        <v>157000</v>
      </c>
      <c r="I186" s="166"/>
      <c r="J186" s="157">
        <v>151921.93</v>
      </c>
      <c r="K186" s="383"/>
    </row>
    <row r="187" spans="1:11" s="182" customFormat="1" x14ac:dyDescent="0.15">
      <c r="A187" s="383"/>
      <c r="B187">
        <v>1343800410</v>
      </c>
      <c r="D187" s="278" t="s">
        <v>1411</v>
      </c>
      <c r="E187" s="183"/>
      <c r="F187" s="157">
        <v>0</v>
      </c>
      <c r="G187" s="166"/>
      <c r="H187" s="157">
        <v>0</v>
      </c>
      <c r="I187" s="166"/>
      <c r="J187" s="157">
        <v>0</v>
      </c>
      <c r="K187" s="383"/>
    </row>
    <row r="188" spans="1:11" x14ac:dyDescent="0.15">
      <c r="A188" s="383"/>
      <c r="B188">
        <v>1343800420</v>
      </c>
      <c r="D188" s="278" t="s">
        <v>299</v>
      </c>
      <c r="F188" s="157">
        <v>24000</v>
      </c>
      <c r="H188" s="157">
        <v>34500</v>
      </c>
      <c r="J188" s="157">
        <v>26372</v>
      </c>
      <c r="K188" s="383"/>
    </row>
    <row r="189" spans="1:11" x14ac:dyDescent="0.15">
      <c r="A189" s="383"/>
      <c r="B189">
        <v>1343800930</v>
      </c>
      <c r="D189" s="278" t="s">
        <v>419</v>
      </c>
      <c r="F189" s="157">
        <v>5273654</v>
      </c>
      <c r="H189" s="157">
        <v>4117340.1600000001</v>
      </c>
      <c r="J189" s="157">
        <v>3721857</v>
      </c>
      <c r="K189" s="383"/>
    </row>
    <row r="190" spans="1:11" x14ac:dyDescent="0.15">
      <c r="A190" s="383"/>
      <c r="B190">
        <v>1343800935</v>
      </c>
      <c r="D190" s="278" t="s">
        <v>420</v>
      </c>
      <c r="F190" s="157">
        <v>240000</v>
      </c>
      <c r="H190" s="157">
        <v>183870</v>
      </c>
      <c r="J190" s="157">
        <v>215273</v>
      </c>
      <c r="K190" s="383"/>
    </row>
    <row r="191" spans="1:11" x14ac:dyDescent="0.15">
      <c r="A191" s="383"/>
      <c r="B191">
        <v>1343900930</v>
      </c>
      <c r="D191" s="278" t="s">
        <v>421</v>
      </c>
      <c r="F191" s="157">
        <v>2888802</v>
      </c>
      <c r="H191" s="157">
        <v>2611159.2000000002</v>
      </c>
      <c r="J191" s="157">
        <v>2614392</v>
      </c>
      <c r="K191" s="383"/>
    </row>
    <row r="192" spans="1:11" x14ac:dyDescent="0.15">
      <c r="A192" s="383"/>
      <c r="B192">
        <v>1344300420</v>
      </c>
      <c r="D192" s="278" t="s">
        <v>300</v>
      </c>
      <c r="F192" s="157">
        <v>320000</v>
      </c>
      <c r="H192" s="157">
        <v>492000</v>
      </c>
      <c r="J192" s="157">
        <v>466014.4</v>
      </c>
      <c r="K192" s="383"/>
    </row>
    <row r="193" spans="1:11" x14ac:dyDescent="0.15">
      <c r="A193" s="383"/>
      <c r="B193">
        <v>1344300421</v>
      </c>
      <c r="D193" s="278" t="s">
        <v>301</v>
      </c>
      <c r="F193" s="157">
        <v>28000</v>
      </c>
      <c r="H193" s="157">
        <v>22500</v>
      </c>
      <c r="J193" s="157">
        <v>26548</v>
      </c>
      <c r="K193" s="383"/>
    </row>
    <row r="194" spans="1:11" x14ac:dyDescent="0.15">
      <c r="A194" s="383"/>
      <c r="B194">
        <v>1344300930</v>
      </c>
      <c r="D194" s="278" t="s">
        <v>300</v>
      </c>
      <c r="F194" s="157">
        <v>3795984</v>
      </c>
      <c r="H194" s="157">
        <v>4303446.3</v>
      </c>
      <c r="J194" s="157">
        <v>3925438</v>
      </c>
      <c r="K194" s="383"/>
    </row>
    <row r="195" spans="1:11" x14ac:dyDescent="0.15">
      <c r="A195" s="383"/>
      <c r="B195">
        <v>1344300932</v>
      </c>
      <c r="D195" s="278" t="s">
        <v>59</v>
      </c>
      <c r="F195" s="157">
        <v>11250</v>
      </c>
      <c r="H195" s="157">
        <v>0</v>
      </c>
      <c r="J195" s="157">
        <v>0</v>
      </c>
      <c r="K195" s="383"/>
    </row>
    <row r="196" spans="1:11" s="182" customFormat="1" x14ac:dyDescent="0.15">
      <c r="A196" s="383"/>
      <c r="B196">
        <v>1344400931</v>
      </c>
      <c r="D196" s="278" t="s">
        <v>422</v>
      </c>
      <c r="E196" s="183"/>
      <c r="F196" s="157">
        <v>150000</v>
      </c>
      <c r="G196" s="166"/>
      <c r="H196" s="157">
        <v>100000</v>
      </c>
      <c r="I196" s="166"/>
      <c r="J196" s="157">
        <v>115581</v>
      </c>
      <c r="K196" s="383"/>
    </row>
    <row r="197" spans="1:11" x14ac:dyDescent="0.15">
      <c r="A197" s="383"/>
      <c r="B197">
        <v>1344400932</v>
      </c>
      <c r="D197" s="278" t="s">
        <v>423</v>
      </c>
      <c r="F197" s="157">
        <v>252000</v>
      </c>
      <c r="H197" s="157">
        <v>154000</v>
      </c>
      <c r="J197" s="157">
        <v>168126</v>
      </c>
      <c r="K197" s="383"/>
    </row>
    <row r="198" spans="1:11" s="182" customFormat="1" x14ac:dyDescent="0.15">
      <c r="A198" s="383"/>
      <c r="B198">
        <v>1344400934</v>
      </c>
      <c r="D198" s="278" t="s">
        <v>424</v>
      </c>
      <c r="E198" s="183"/>
      <c r="F198" s="157">
        <v>117600</v>
      </c>
      <c r="G198" s="166"/>
      <c r="H198" s="157">
        <v>257156</v>
      </c>
      <c r="I198" s="166"/>
      <c r="J198" s="157">
        <v>231561</v>
      </c>
      <c r="K198" s="383"/>
    </row>
    <row r="199" spans="1:11" x14ac:dyDescent="0.15">
      <c r="A199" s="383"/>
      <c r="B199">
        <v>1344400935</v>
      </c>
      <c r="D199" s="278" t="s">
        <v>425</v>
      </c>
      <c r="F199" s="157">
        <v>36000</v>
      </c>
      <c r="H199" s="157">
        <v>22500</v>
      </c>
      <c r="J199" s="157">
        <v>19370</v>
      </c>
      <c r="K199" s="383"/>
    </row>
    <row r="200" spans="1:11" s="182" customFormat="1" x14ac:dyDescent="0.15">
      <c r="A200" s="383"/>
      <c r="B200">
        <v>1344400939</v>
      </c>
      <c r="D200" s="278" t="s">
        <v>426</v>
      </c>
      <c r="E200" s="183"/>
      <c r="F200" s="157">
        <v>74400</v>
      </c>
      <c r="G200" s="166"/>
      <c r="H200" s="157">
        <v>315000</v>
      </c>
      <c r="I200" s="166"/>
      <c r="J200" s="157">
        <v>108207</v>
      </c>
      <c r="K200" s="383"/>
    </row>
    <row r="201" spans="1:11" x14ac:dyDescent="0.15">
      <c r="A201" s="383"/>
      <c r="B201">
        <v>1344400940</v>
      </c>
      <c r="D201" s="278" t="s">
        <v>1482</v>
      </c>
      <c r="F201" s="157">
        <v>122250</v>
      </c>
      <c r="H201" s="157">
        <v>150000</v>
      </c>
      <c r="J201" s="157">
        <v>0</v>
      </c>
      <c r="K201" s="383"/>
    </row>
    <row r="202" spans="1:11" s="182" customFormat="1" x14ac:dyDescent="0.15">
      <c r="A202" s="383"/>
      <c r="B202">
        <v>1344400941</v>
      </c>
      <c r="D202" s="278" t="s">
        <v>1594</v>
      </c>
      <c r="E202" s="183"/>
      <c r="F202" s="157">
        <v>0</v>
      </c>
      <c r="G202" s="166"/>
      <c r="H202" s="157">
        <v>0</v>
      </c>
      <c r="I202" s="166"/>
      <c r="J202" s="157">
        <v>104053</v>
      </c>
      <c r="K202" s="383"/>
    </row>
    <row r="203" spans="1:11" s="182" customFormat="1" x14ac:dyDescent="0.15">
      <c r="A203" s="383"/>
      <c r="B203">
        <v>1344400942</v>
      </c>
      <c r="D203" s="278" t="s">
        <v>1722</v>
      </c>
      <c r="E203" s="183"/>
      <c r="F203" s="157">
        <v>199920</v>
      </c>
      <c r="G203" s="166"/>
      <c r="H203" s="157">
        <v>0</v>
      </c>
      <c r="I203" s="166"/>
      <c r="J203" s="157">
        <v>284576</v>
      </c>
      <c r="K203" s="383"/>
    </row>
    <row r="204" spans="1:11" s="182" customFormat="1" x14ac:dyDescent="0.15">
      <c r="A204" s="383"/>
      <c r="B204">
        <v>1344400943</v>
      </c>
      <c r="D204" s="278" t="s">
        <v>1951</v>
      </c>
      <c r="E204" s="183"/>
      <c r="F204" s="157">
        <v>100000</v>
      </c>
      <c r="G204" s="166"/>
      <c r="H204" s="157">
        <v>100000</v>
      </c>
      <c r="I204" s="166"/>
      <c r="J204" s="157">
        <v>106377</v>
      </c>
      <c r="K204" s="383"/>
    </row>
    <row r="205" spans="1:11" s="182" customFormat="1" x14ac:dyDescent="0.15">
      <c r="A205" s="383"/>
      <c r="B205">
        <v>1344400944</v>
      </c>
      <c r="D205" s="278" t="s">
        <v>2084</v>
      </c>
      <c r="E205" s="183"/>
      <c r="F205" s="157">
        <v>37500</v>
      </c>
      <c r="G205" s="166"/>
      <c r="H205" s="157">
        <v>0</v>
      </c>
      <c r="I205" s="166"/>
      <c r="J205" s="157">
        <v>13301</v>
      </c>
      <c r="K205" s="383"/>
    </row>
    <row r="206" spans="1:11" s="182" customFormat="1" x14ac:dyDescent="0.15">
      <c r="A206" s="383"/>
      <c r="B206">
        <v>1344500420</v>
      </c>
      <c r="D206" s="278" t="s">
        <v>302</v>
      </c>
      <c r="E206" s="183"/>
      <c r="F206" s="157">
        <v>70000</v>
      </c>
      <c r="G206" s="166"/>
      <c r="H206" s="157">
        <v>60000</v>
      </c>
      <c r="I206" s="166"/>
      <c r="J206" s="157">
        <v>52214</v>
      </c>
      <c r="K206" s="383"/>
    </row>
    <row r="207" spans="1:11" x14ac:dyDescent="0.15">
      <c r="A207" s="383"/>
      <c r="B207">
        <v>1344500930</v>
      </c>
      <c r="D207" s="278" t="s">
        <v>427</v>
      </c>
      <c r="F207" s="157">
        <v>384000</v>
      </c>
      <c r="H207" s="157">
        <v>416000</v>
      </c>
      <c r="J207" s="157">
        <v>336579</v>
      </c>
      <c r="K207" s="383"/>
    </row>
    <row r="208" spans="1:11" x14ac:dyDescent="0.15">
      <c r="A208" s="383"/>
      <c r="B208">
        <v>1344500934</v>
      </c>
      <c r="D208" s="278" t="s">
        <v>1650</v>
      </c>
      <c r="F208" s="157">
        <v>210000</v>
      </c>
      <c r="H208" s="157">
        <v>215468.4</v>
      </c>
      <c r="J208" s="157">
        <v>179808</v>
      </c>
      <c r="K208" s="383"/>
    </row>
    <row r="209" spans="1:11" s="182" customFormat="1" x14ac:dyDescent="0.15">
      <c r="A209" s="383"/>
      <c r="B209">
        <v>1344500935</v>
      </c>
      <c r="D209" s="278" t="s">
        <v>1649</v>
      </c>
      <c r="E209" s="183"/>
      <c r="F209" s="157">
        <v>276000</v>
      </c>
      <c r="G209" s="166"/>
      <c r="H209" s="157">
        <v>274093</v>
      </c>
      <c r="I209" s="166"/>
      <c r="J209" s="157">
        <v>240767</v>
      </c>
      <c r="K209" s="383"/>
    </row>
    <row r="210" spans="1:11" s="182" customFormat="1" x14ac:dyDescent="0.15">
      <c r="A210" s="383"/>
      <c r="B210">
        <v>1345100420</v>
      </c>
      <c r="D210" s="278" t="s">
        <v>1196</v>
      </c>
      <c r="E210" s="183"/>
      <c r="F210" s="157">
        <v>1500</v>
      </c>
      <c r="G210" s="166"/>
      <c r="H210" s="157">
        <v>1000</v>
      </c>
      <c r="I210" s="166"/>
      <c r="J210" s="157">
        <v>1000</v>
      </c>
      <c r="K210" s="383"/>
    </row>
    <row r="211" spans="1:11" s="182" customFormat="1" x14ac:dyDescent="0.15">
      <c r="A211" s="383"/>
      <c r="B211">
        <v>1345100932</v>
      </c>
      <c r="D211" s="278" t="s">
        <v>431</v>
      </c>
      <c r="E211" s="183"/>
      <c r="F211" s="157">
        <v>1323504</v>
      </c>
      <c r="G211" s="166"/>
      <c r="H211" s="157">
        <v>1248480</v>
      </c>
      <c r="I211" s="166"/>
      <c r="J211" s="157">
        <v>1023274</v>
      </c>
      <c r="K211" s="383"/>
    </row>
    <row r="212" spans="1:11" x14ac:dyDescent="0.15">
      <c r="A212" s="383"/>
      <c r="B212">
        <v>1345100933</v>
      </c>
      <c r="D212" s="278" t="s">
        <v>432</v>
      </c>
      <c r="F212" s="157">
        <v>60000</v>
      </c>
      <c r="H212" s="157">
        <v>57600</v>
      </c>
      <c r="J212" s="157">
        <v>83802</v>
      </c>
      <c r="K212" s="383"/>
    </row>
    <row r="213" spans="1:11" x14ac:dyDescent="0.15">
      <c r="A213" s="383"/>
      <c r="B213">
        <v>1345100934</v>
      </c>
      <c r="D213" s="278" t="s">
        <v>1196</v>
      </c>
      <c r="F213" s="157">
        <v>7500</v>
      </c>
      <c r="H213" s="157">
        <v>7500</v>
      </c>
      <c r="J213" s="157">
        <v>4456</v>
      </c>
      <c r="K213" s="383"/>
    </row>
    <row r="214" spans="1:11" x14ac:dyDescent="0.15">
      <c r="A214" s="383"/>
      <c r="B214">
        <v>1345100935</v>
      </c>
      <c r="D214" s="278" t="s">
        <v>433</v>
      </c>
      <c r="F214" s="157">
        <v>10992</v>
      </c>
      <c r="H214" s="157">
        <v>15440.76</v>
      </c>
      <c r="J214" s="157">
        <v>16992</v>
      </c>
      <c r="K214" s="383"/>
    </row>
    <row r="215" spans="1:11" x14ac:dyDescent="0.15">
      <c r="A215" s="383"/>
      <c r="B215">
        <v>1345100936</v>
      </c>
      <c r="D215" s="278" t="s">
        <v>434</v>
      </c>
      <c r="F215" s="157">
        <v>544740</v>
      </c>
      <c r="H215" s="157">
        <v>126300</v>
      </c>
      <c r="J215" s="157">
        <v>89667</v>
      </c>
      <c r="K215" s="383"/>
    </row>
    <row r="216" spans="1:11" x14ac:dyDescent="0.15">
      <c r="A216" s="383"/>
      <c r="B216">
        <v>1345100938</v>
      </c>
      <c r="D216" s="278" t="s">
        <v>1412</v>
      </c>
      <c r="F216" s="157">
        <v>122391</v>
      </c>
      <c r="H216" s="157">
        <v>75536.960000000006</v>
      </c>
      <c r="J216" s="157">
        <v>38152</v>
      </c>
      <c r="K216" s="383"/>
    </row>
    <row r="217" spans="1:11" x14ac:dyDescent="0.15">
      <c r="A217" s="383"/>
      <c r="B217">
        <v>1345100939</v>
      </c>
      <c r="D217" s="278" t="s">
        <v>1413</v>
      </c>
      <c r="F217" s="157">
        <v>90000</v>
      </c>
      <c r="H217" s="157">
        <v>15750</v>
      </c>
      <c r="J217" s="157">
        <v>24589</v>
      </c>
      <c r="K217" s="383"/>
    </row>
    <row r="218" spans="1:11" x14ac:dyDescent="0.15">
      <c r="A218" s="383"/>
      <c r="B218">
        <v>1345100940</v>
      </c>
      <c r="D218" s="278" t="s">
        <v>1723</v>
      </c>
      <c r="F218" s="157">
        <v>10086264</v>
      </c>
      <c r="H218" s="157">
        <v>9597690</v>
      </c>
      <c r="J218" s="157">
        <v>9321258</v>
      </c>
      <c r="K218" s="383"/>
    </row>
    <row r="219" spans="1:11" s="182" customFormat="1" x14ac:dyDescent="0.15">
      <c r="A219" s="383"/>
      <c r="B219">
        <v>1345100941</v>
      </c>
      <c r="C219" s="155"/>
      <c r="D219" s="278" t="s">
        <v>1724</v>
      </c>
      <c r="E219" s="183"/>
      <c r="F219" s="157">
        <v>0</v>
      </c>
      <c r="G219" s="166"/>
      <c r="H219" s="157">
        <v>0</v>
      </c>
      <c r="I219" s="166"/>
      <c r="J219" s="157">
        <v>0</v>
      </c>
      <c r="K219" s="383"/>
    </row>
    <row r="220" spans="1:11" s="182" customFormat="1" x14ac:dyDescent="0.15">
      <c r="A220" s="383"/>
      <c r="B220">
        <v>1345100942</v>
      </c>
      <c r="C220" s="155"/>
      <c r="D220" s="278" t="s">
        <v>1480</v>
      </c>
      <c r="E220" s="183"/>
      <c r="F220" s="157">
        <v>92169</v>
      </c>
      <c r="G220" s="166"/>
      <c r="H220" s="157">
        <v>71544</v>
      </c>
      <c r="I220" s="166"/>
      <c r="J220" s="157">
        <v>87445</v>
      </c>
      <c r="K220" s="383"/>
    </row>
    <row r="221" spans="1:11" s="182" customFormat="1" x14ac:dyDescent="0.15">
      <c r="A221" s="383"/>
      <c r="B221">
        <v>1345100943</v>
      </c>
      <c r="D221" s="278" t="s">
        <v>1952</v>
      </c>
      <c r="E221" s="183"/>
      <c r="F221" s="157">
        <v>2297043</v>
      </c>
      <c r="G221" s="166"/>
      <c r="H221" s="157">
        <v>2319786</v>
      </c>
      <c r="I221" s="166"/>
      <c r="J221" s="157">
        <v>2295319</v>
      </c>
      <c r="K221" s="383"/>
    </row>
    <row r="222" spans="1:11" s="182" customFormat="1" x14ac:dyDescent="0.15">
      <c r="A222" s="383"/>
      <c r="B222">
        <v>1345200931</v>
      </c>
      <c r="D222" s="278" t="s">
        <v>436</v>
      </c>
      <c r="E222" s="183"/>
      <c r="F222" s="157">
        <v>0</v>
      </c>
      <c r="G222" s="166"/>
      <c r="H222" s="157">
        <v>0</v>
      </c>
      <c r="I222" s="166"/>
      <c r="J222" s="157">
        <v>0</v>
      </c>
      <c r="K222" s="383"/>
    </row>
    <row r="223" spans="1:11" x14ac:dyDescent="0.15">
      <c r="A223" s="383"/>
      <c r="B223">
        <v>1345200932</v>
      </c>
      <c r="D223" s="278" t="s">
        <v>437</v>
      </c>
      <c r="F223" s="157">
        <v>501023</v>
      </c>
      <c r="H223" s="157">
        <v>564288.48</v>
      </c>
      <c r="J223" s="157">
        <v>431006</v>
      </c>
      <c r="K223" s="383"/>
    </row>
    <row r="224" spans="1:11" x14ac:dyDescent="0.15">
      <c r="A224" s="383"/>
      <c r="B224">
        <v>1345200937</v>
      </c>
      <c r="D224" s="278" t="s">
        <v>1726</v>
      </c>
      <c r="F224" s="157">
        <v>1320000</v>
      </c>
      <c r="H224" s="157">
        <v>1210947</v>
      </c>
      <c r="J224" s="157">
        <v>1135912</v>
      </c>
      <c r="K224" s="383"/>
    </row>
    <row r="225" spans="1:11" x14ac:dyDescent="0.15">
      <c r="A225" s="383"/>
      <c r="B225">
        <v>1345300420</v>
      </c>
      <c r="D225" s="278" t="s">
        <v>1197</v>
      </c>
      <c r="F225" s="157">
        <v>0</v>
      </c>
      <c r="H225" s="157">
        <v>0</v>
      </c>
      <c r="J225" s="157">
        <v>0</v>
      </c>
      <c r="K225" s="383"/>
    </row>
    <row r="226" spans="1:11" s="182" customFormat="1" x14ac:dyDescent="0.15">
      <c r="A226" s="383"/>
      <c r="B226">
        <v>1345300930</v>
      </c>
      <c r="C226"/>
      <c r="D226" s="278" t="s">
        <v>298</v>
      </c>
      <c r="E226" s="183"/>
      <c r="F226" s="157">
        <v>66766</v>
      </c>
      <c r="G226" s="166"/>
      <c r="H226" s="157">
        <v>0</v>
      </c>
      <c r="I226" s="166"/>
      <c r="J226" s="157">
        <v>6952.71</v>
      </c>
      <c r="K226" s="383"/>
    </row>
    <row r="227" spans="1:11" x14ac:dyDescent="0.15">
      <c r="A227" s="383"/>
      <c r="B227">
        <v>1345300931</v>
      </c>
      <c r="D227" s="278" t="s">
        <v>439</v>
      </c>
      <c r="F227" s="157">
        <v>35750</v>
      </c>
      <c r="H227" s="157">
        <v>21300</v>
      </c>
      <c r="J227" s="157">
        <v>22355</v>
      </c>
      <c r="K227" s="383"/>
    </row>
    <row r="228" spans="1:11" x14ac:dyDescent="0.15">
      <c r="A228" s="383"/>
      <c r="B228">
        <v>1345300933</v>
      </c>
      <c r="D228" s="278" t="s">
        <v>440</v>
      </c>
      <c r="F228" s="157">
        <v>0</v>
      </c>
      <c r="H228" s="157">
        <v>0</v>
      </c>
      <c r="J228" s="157">
        <v>0</v>
      </c>
      <c r="K228" s="383"/>
    </row>
    <row r="229" spans="1:11" x14ac:dyDescent="0.15">
      <c r="A229" s="383"/>
      <c r="B229">
        <v>1345300936</v>
      </c>
      <c r="D229" s="278" t="s">
        <v>1727</v>
      </c>
      <c r="F229" s="157">
        <v>0</v>
      </c>
      <c r="H229" s="157">
        <v>57600</v>
      </c>
      <c r="J229" s="157">
        <v>79025</v>
      </c>
      <c r="K229" s="383"/>
    </row>
    <row r="230" spans="1:11" x14ac:dyDescent="0.15">
      <c r="A230" s="383"/>
      <c r="B230">
        <v>1345300937</v>
      </c>
      <c r="D230" s="278" t="s">
        <v>1728</v>
      </c>
      <c r="F230" s="157">
        <v>273600</v>
      </c>
      <c r="H230" s="157">
        <v>252000</v>
      </c>
      <c r="J230" s="157">
        <v>280240</v>
      </c>
      <c r="K230" s="383"/>
    </row>
    <row r="231" spans="1:11" x14ac:dyDescent="0.15">
      <c r="A231" s="383"/>
      <c r="B231">
        <v>1345300938</v>
      </c>
      <c r="D231" s="278" t="s">
        <v>1729</v>
      </c>
      <c r="F231" s="157">
        <v>33472</v>
      </c>
      <c r="H231" s="157">
        <v>46955.7</v>
      </c>
      <c r="J231" s="157">
        <v>34264</v>
      </c>
      <c r="K231" s="383"/>
    </row>
    <row r="232" spans="1:11" x14ac:dyDescent="0.15">
      <c r="A232" s="383"/>
      <c r="B232">
        <v>1345523410</v>
      </c>
      <c r="D232" s="278" t="s">
        <v>298</v>
      </c>
      <c r="F232" s="157">
        <v>27000</v>
      </c>
      <c r="H232" s="157">
        <v>31500</v>
      </c>
      <c r="J232" s="157">
        <v>26108</v>
      </c>
      <c r="K232" s="383"/>
    </row>
    <row r="233" spans="1:11" x14ac:dyDescent="0.15">
      <c r="A233" s="383"/>
      <c r="B233">
        <v>1346100930</v>
      </c>
      <c r="D233" s="278" t="s">
        <v>442</v>
      </c>
      <c r="F233" s="157">
        <v>132471</v>
      </c>
      <c r="H233" s="157">
        <v>127519.38</v>
      </c>
      <c r="J233" s="157">
        <v>132642</v>
      </c>
      <c r="K233" s="383"/>
    </row>
    <row r="234" spans="1:11" x14ac:dyDescent="0.15">
      <c r="A234" s="383"/>
      <c r="B234">
        <v>1346300931</v>
      </c>
      <c r="D234" s="278" t="s">
        <v>443</v>
      </c>
      <c r="F234" s="157">
        <v>57600</v>
      </c>
      <c r="H234" s="157">
        <v>45000</v>
      </c>
      <c r="J234" s="157">
        <v>36831</v>
      </c>
      <c r="K234" s="383"/>
    </row>
    <row r="235" spans="1:11" x14ac:dyDescent="0.15">
      <c r="A235" s="383"/>
      <c r="B235">
        <v>1346300933</v>
      </c>
      <c r="D235" s="278" t="s">
        <v>444</v>
      </c>
      <c r="F235" s="157">
        <v>6300</v>
      </c>
      <c r="H235" s="157">
        <v>6300</v>
      </c>
      <c r="J235" s="157">
        <v>5108</v>
      </c>
      <c r="K235" s="383"/>
    </row>
    <row r="236" spans="1:11" x14ac:dyDescent="0.15">
      <c r="A236" s="383"/>
      <c r="B236">
        <v>1346400930</v>
      </c>
      <c r="D236" s="278" t="s">
        <v>1415</v>
      </c>
      <c r="F236" s="157">
        <v>0</v>
      </c>
      <c r="H236" s="157">
        <v>0</v>
      </c>
      <c r="J236" s="157">
        <v>1159</v>
      </c>
      <c r="K236" s="383"/>
    </row>
    <row r="237" spans="1:11" s="182" customFormat="1" x14ac:dyDescent="0.15">
      <c r="A237" s="383"/>
      <c r="B237">
        <v>1346400931</v>
      </c>
      <c r="D237" s="278" t="s">
        <v>445</v>
      </c>
      <c r="E237" s="183"/>
      <c r="F237" s="157">
        <v>0</v>
      </c>
      <c r="G237" s="166"/>
      <c r="H237" s="157">
        <v>0</v>
      </c>
      <c r="I237" s="166"/>
      <c r="J237" s="157">
        <v>1955</v>
      </c>
      <c r="K237" s="383"/>
    </row>
    <row r="238" spans="1:11" x14ac:dyDescent="0.15">
      <c r="A238" s="383"/>
      <c r="B238">
        <v>1346500930</v>
      </c>
      <c r="D238" s="278" t="s">
        <v>446</v>
      </c>
      <c r="F238" s="157">
        <v>3377197</v>
      </c>
      <c r="H238" s="157">
        <v>3020220</v>
      </c>
      <c r="J238" s="157">
        <v>2868064</v>
      </c>
      <c r="K238" s="383"/>
    </row>
    <row r="239" spans="1:11" s="182" customFormat="1" x14ac:dyDescent="0.15">
      <c r="A239" s="383"/>
      <c r="B239">
        <v>1346500932</v>
      </c>
      <c r="D239" s="278" t="s">
        <v>2085</v>
      </c>
      <c r="E239" s="183"/>
      <c r="F239" s="157">
        <v>0</v>
      </c>
      <c r="G239" s="166"/>
      <c r="H239" s="157">
        <v>0</v>
      </c>
      <c r="I239" s="166"/>
      <c r="J239" s="157">
        <v>3750</v>
      </c>
      <c r="K239" s="383"/>
    </row>
    <row r="240" spans="1:11" x14ac:dyDescent="0.15">
      <c r="A240" s="383"/>
      <c r="B240">
        <v>1346600930</v>
      </c>
      <c r="D240" s="278" t="s">
        <v>447</v>
      </c>
      <c r="F240" s="157">
        <v>47520</v>
      </c>
      <c r="H240" s="157">
        <v>62263.66</v>
      </c>
      <c r="J240" s="157">
        <v>36196</v>
      </c>
      <c r="K240" s="383"/>
    </row>
    <row r="241" spans="1:11" x14ac:dyDescent="0.15">
      <c r="A241" s="383"/>
      <c r="B241">
        <v>1346600931</v>
      </c>
      <c r="D241" s="278" t="s">
        <v>448</v>
      </c>
      <c r="F241" s="157">
        <v>175500</v>
      </c>
      <c r="H241" s="157">
        <v>167434.01999999999</v>
      </c>
      <c r="J241" s="157">
        <v>134155</v>
      </c>
      <c r="K241" s="383"/>
    </row>
    <row r="242" spans="1:11" x14ac:dyDescent="0.15">
      <c r="A242" s="383"/>
      <c r="B242">
        <v>1346600933</v>
      </c>
      <c r="D242" s="278" t="s">
        <v>1479</v>
      </c>
      <c r="F242" s="157">
        <v>0</v>
      </c>
      <c r="H242" s="157">
        <v>18176.400000000001</v>
      </c>
      <c r="J242" s="157">
        <v>1980</v>
      </c>
      <c r="K242" s="383"/>
    </row>
    <row r="243" spans="1:11" s="182" customFormat="1" x14ac:dyDescent="0.15">
      <c r="A243" s="383"/>
      <c r="B243">
        <v>1346700420</v>
      </c>
      <c r="D243" s="278" t="s">
        <v>303</v>
      </c>
      <c r="E243" s="183"/>
      <c r="F243" s="157">
        <v>149000</v>
      </c>
      <c r="G243" s="166"/>
      <c r="H243" s="157">
        <v>91500</v>
      </c>
      <c r="I243" s="166"/>
      <c r="J243" s="157">
        <v>106286.45</v>
      </c>
      <c r="K243" s="383"/>
    </row>
    <row r="244" spans="1:11" x14ac:dyDescent="0.15">
      <c r="A244" s="383"/>
      <c r="B244">
        <v>1346700930</v>
      </c>
      <c r="D244" s="278" t="s">
        <v>449</v>
      </c>
      <c r="F244" s="157">
        <v>52500</v>
      </c>
      <c r="H244" s="157">
        <v>7500</v>
      </c>
      <c r="J244" s="157">
        <v>8388</v>
      </c>
      <c r="K244" s="383"/>
    </row>
    <row r="245" spans="1:11" x14ac:dyDescent="0.15">
      <c r="A245" s="383"/>
      <c r="B245">
        <v>1346700931</v>
      </c>
      <c r="D245" s="278" t="s">
        <v>1417</v>
      </c>
      <c r="F245" s="157">
        <v>19800</v>
      </c>
      <c r="H245" s="157">
        <v>9877.68</v>
      </c>
      <c r="J245" s="157">
        <v>9925</v>
      </c>
      <c r="K245" s="383"/>
    </row>
    <row r="246" spans="1:11" x14ac:dyDescent="0.15">
      <c r="A246" s="383"/>
      <c r="B246">
        <v>1346700933</v>
      </c>
      <c r="D246" s="278" t="s">
        <v>303</v>
      </c>
      <c r="F246" s="157">
        <v>161280</v>
      </c>
      <c r="H246" s="157">
        <v>277704</v>
      </c>
      <c r="J246" s="157">
        <v>233022.8</v>
      </c>
      <c r="K246" s="383"/>
    </row>
    <row r="247" spans="1:11" x14ac:dyDescent="0.15">
      <c r="A247" s="383"/>
      <c r="B247">
        <v>1346700934</v>
      </c>
      <c r="D247" s="278" t="s">
        <v>450</v>
      </c>
      <c r="F247" s="157">
        <v>225000</v>
      </c>
      <c r="H247" s="157">
        <v>262500</v>
      </c>
      <c r="J247" s="157">
        <v>183538</v>
      </c>
      <c r="K247" s="383"/>
    </row>
    <row r="248" spans="1:11" x14ac:dyDescent="0.15">
      <c r="A248" s="383"/>
      <c r="B248">
        <v>1346700935</v>
      </c>
      <c r="D248" s="278" t="s">
        <v>451</v>
      </c>
      <c r="F248" s="157">
        <v>50000</v>
      </c>
      <c r="H248" s="157">
        <v>108000</v>
      </c>
      <c r="J248" s="157">
        <v>91678</v>
      </c>
      <c r="K248" s="383"/>
    </row>
    <row r="249" spans="1:11" x14ac:dyDescent="0.15">
      <c r="A249" s="383"/>
      <c r="B249">
        <v>1346700936</v>
      </c>
      <c r="D249" s="278" t="s">
        <v>452</v>
      </c>
      <c r="F249" s="157">
        <v>1875</v>
      </c>
      <c r="H249" s="157">
        <v>4500</v>
      </c>
      <c r="J249" s="157">
        <v>5241</v>
      </c>
      <c r="K249" s="383"/>
    </row>
    <row r="250" spans="1:11" x14ac:dyDescent="0.15">
      <c r="A250" s="383"/>
      <c r="B250">
        <v>1346700938</v>
      </c>
      <c r="D250" s="278" t="s">
        <v>454</v>
      </c>
      <c r="F250" s="157">
        <v>108945</v>
      </c>
      <c r="H250" s="157">
        <v>80884.98</v>
      </c>
      <c r="J250" s="157">
        <v>99151</v>
      </c>
      <c r="K250" s="383"/>
    </row>
    <row r="251" spans="1:11" x14ac:dyDescent="0.15">
      <c r="A251" s="383"/>
      <c r="B251">
        <v>1346700939</v>
      </c>
      <c r="D251" s="278" t="s">
        <v>88</v>
      </c>
      <c r="F251" s="157">
        <v>52200</v>
      </c>
      <c r="H251" s="157">
        <v>17500</v>
      </c>
      <c r="J251" s="157">
        <v>0</v>
      </c>
      <c r="K251" s="383"/>
    </row>
    <row r="252" spans="1:11" s="182" customFormat="1" x14ac:dyDescent="0.15">
      <c r="A252" s="383"/>
      <c r="B252">
        <v>1346700950</v>
      </c>
      <c r="D252" s="278" t="s">
        <v>1595</v>
      </c>
      <c r="E252" s="183"/>
      <c r="F252" s="157">
        <v>76500</v>
      </c>
      <c r="G252" s="166"/>
      <c r="H252" s="157">
        <v>0</v>
      </c>
      <c r="I252" s="166"/>
      <c r="J252" s="157">
        <v>64619</v>
      </c>
      <c r="K252" s="383"/>
    </row>
    <row r="253" spans="1:11" s="182" customFormat="1" x14ac:dyDescent="0.15">
      <c r="A253" s="383"/>
      <c r="B253">
        <v>1346800932</v>
      </c>
      <c r="D253" s="278" t="s">
        <v>455</v>
      </c>
      <c r="E253" s="183"/>
      <c r="F253" s="157">
        <v>120000</v>
      </c>
      <c r="G253" s="166"/>
      <c r="H253" s="157">
        <v>54000</v>
      </c>
      <c r="I253" s="166"/>
      <c r="J253" s="157">
        <v>91490</v>
      </c>
      <c r="K253" s="383"/>
    </row>
    <row r="254" spans="1:11" x14ac:dyDescent="0.15">
      <c r="A254" s="383"/>
      <c r="B254">
        <v>1346800933</v>
      </c>
      <c r="D254" s="278" t="s">
        <v>456</v>
      </c>
      <c r="F254" s="157">
        <v>0</v>
      </c>
      <c r="H254" s="157">
        <v>34535.160000000003</v>
      </c>
      <c r="J254" s="157">
        <v>30763</v>
      </c>
      <c r="K254" s="383"/>
    </row>
    <row r="255" spans="1:11" x14ac:dyDescent="0.15">
      <c r="A255" s="383"/>
      <c r="B255">
        <v>1346800934</v>
      </c>
      <c r="D255" s="278" t="s">
        <v>457</v>
      </c>
      <c r="F255" s="157">
        <v>21150</v>
      </c>
      <c r="H255" s="157">
        <v>18450</v>
      </c>
      <c r="J255" s="157">
        <v>0</v>
      </c>
      <c r="K255" s="383"/>
    </row>
    <row r="256" spans="1:11" x14ac:dyDescent="0.15">
      <c r="A256" s="383"/>
      <c r="B256">
        <v>1346800936</v>
      </c>
      <c r="D256" s="278" t="s">
        <v>459</v>
      </c>
      <c r="F256" s="157">
        <v>263250</v>
      </c>
      <c r="H256" s="157">
        <v>256948.2</v>
      </c>
      <c r="J256" s="157">
        <v>390592</v>
      </c>
      <c r="K256" s="383"/>
    </row>
    <row r="257" spans="1:11" x14ac:dyDescent="0.15">
      <c r="A257" s="383"/>
      <c r="B257">
        <v>1346800938</v>
      </c>
      <c r="D257" s="278" t="s">
        <v>1596</v>
      </c>
      <c r="F257" s="157">
        <v>49686</v>
      </c>
      <c r="H257" s="157">
        <v>41744.35</v>
      </c>
      <c r="J257" s="157">
        <v>42805</v>
      </c>
      <c r="K257" s="383"/>
    </row>
    <row r="258" spans="1:11" s="182" customFormat="1" x14ac:dyDescent="0.15">
      <c r="A258" s="383"/>
      <c r="B258">
        <v>1346800940</v>
      </c>
      <c r="D258" s="278" t="s">
        <v>67</v>
      </c>
      <c r="E258" s="183"/>
      <c r="F258" s="157">
        <v>99360</v>
      </c>
      <c r="G258" s="166"/>
      <c r="H258" s="157">
        <v>99954</v>
      </c>
      <c r="I258" s="166"/>
      <c r="J258" s="157">
        <v>105899</v>
      </c>
      <c r="K258" s="383"/>
    </row>
    <row r="259" spans="1:11" s="182" customFormat="1" x14ac:dyDescent="0.15">
      <c r="A259" s="383"/>
      <c r="B259">
        <v>1346800942</v>
      </c>
      <c r="D259" s="278" t="s">
        <v>1955</v>
      </c>
      <c r="E259" s="183"/>
      <c r="F259" s="157">
        <v>0</v>
      </c>
      <c r="G259" s="166"/>
      <c r="H259" s="157">
        <v>0</v>
      </c>
      <c r="I259" s="166"/>
      <c r="J259" s="157">
        <v>14023</v>
      </c>
      <c r="K259" s="383"/>
    </row>
    <row r="260" spans="1:11" s="182" customFormat="1" x14ac:dyDescent="0.15">
      <c r="A260" s="383"/>
      <c r="B260">
        <v>1346900420</v>
      </c>
      <c r="D260" s="278" t="s">
        <v>1597</v>
      </c>
      <c r="E260" s="183"/>
      <c r="F260" s="157">
        <v>0</v>
      </c>
      <c r="G260" s="166"/>
      <c r="H260" s="157">
        <v>0</v>
      </c>
      <c r="I260" s="166"/>
      <c r="J260" s="157">
        <v>0</v>
      </c>
      <c r="K260" s="383"/>
    </row>
    <row r="261" spans="1:11" s="182" customFormat="1" x14ac:dyDescent="0.15">
      <c r="A261" s="383"/>
      <c r="B261">
        <v>1346900920</v>
      </c>
      <c r="D261" s="278" t="s">
        <v>1597</v>
      </c>
      <c r="E261" s="183"/>
      <c r="F261" s="157">
        <v>0</v>
      </c>
      <c r="G261" s="166"/>
      <c r="H261" s="157">
        <v>0</v>
      </c>
      <c r="I261" s="166"/>
      <c r="J261" s="157">
        <v>0</v>
      </c>
      <c r="K261" s="383"/>
    </row>
    <row r="262" spans="1:11" s="182" customFormat="1" x14ac:dyDescent="0.15">
      <c r="A262" s="383"/>
      <c r="B262">
        <v>1347100931</v>
      </c>
      <c r="D262" s="278" t="s">
        <v>461</v>
      </c>
      <c r="E262" s="183"/>
      <c r="F262" s="157">
        <v>156000</v>
      </c>
      <c r="G262" s="166"/>
      <c r="H262" s="157">
        <v>175470</v>
      </c>
      <c r="I262" s="166"/>
      <c r="J262" s="157">
        <v>203682</v>
      </c>
      <c r="K262" s="383"/>
    </row>
    <row r="263" spans="1:11" x14ac:dyDescent="0.15">
      <c r="A263" s="383"/>
      <c r="B263">
        <v>1347100932</v>
      </c>
      <c r="D263" s="278" t="s">
        <v>1198</v>
      </c>
      <c r="F263" s="157">
        <v>109800</v>
      </c>
      <c r="H263" s="157">
        <v>72000</v>
      </c>
      <c r="J263" s="157">
        <v>71015</v>
      </c>
      <c r="K263" s="383"/>
    </row>
    <row r="264" spans="1:11" x14ac:dyDescent="0.15">
      <c r="A264" s="383"/>
      <c r="B264">
        <v>1347100933</v>
      </c>
      <c r="D264" s="278" t="s">
        <v>462</v>
      </c>
      <c r="F264" s="157">
        <v>0</v>
      </c>
      <c r="H264" s="157">
        <v>16000</v>
      </c>
      <c r="J264" s="157">
        <v>14595</v>
      </c>
      <c r="K264" s="383"/>
    </row>
    <row r="265" spans="1:11" x14ac:dyDescent="0.15">
      <c r="A265" s="383"/>
      <c r="B265">
        <v>1347100934</v>
      </c>
      <c r="D265" s="278" t="s">
        <v>463</v>
      </c>
      <c r="F265" s="157">
        <v>155052</v>
      </c>
      <c r="H265" s="157">
        <v>162270</v>
      </c>
      <c r="J265" s="157">
        <v>157603</v>
      </c>
      <c r="K265" s="383"/>
    </row>
    <row r="266" spans="1:11" x14ac:dyDescent="0.15">
      <c r="A266" s="383"/>
      <c r="B266">
        <v>1347100935</v>
      </c>
      <c r="D266" s="278" t="s">
        <v>1421</v>
      </c>
      <c r="F266" s="157">
        <v>3420</v>
      </c>
      <c r="H266" s="157">
        <v>1350</v>
      </c>
      <c r="J266" s="157">
        <v>0</v>
      </c>
      <c r="K266" s="383"/>
    </row>
    <row r="267" spans="1:11" x14ac:dyDescent="0.15">
      <c r="A267" s="383"/>
      <c r="B267">
        <v>1347100936</v>
      </c>
      <c r="D267" s="278" t="s">
        <v>50</v>
      </c>
      <c r="F267" s="157">
        <v>0</v>
      </c>
      <c r="H267" s="157">
        <v>30000</v>
      </c>
      <c r="J267" s="157">
        <v>16515</v>
      </c>
      <c r="K267" s="383"/>
    </row>
    <row r="268" spans="1:11" x14ac:dyDescent="0.15">
      <c r="A268" s="383"/>
      <c r="B268">
        <v>1347100940</v>
      </c>
      <c r="D268" s="278" t="s">
        <v>69</v>
      </c>
      <c r="F268" s="157">
        <v>0</v>
      </c>
      <c r="H268" s="157">
        <v>0</v>
      </c>
      <c r="J268" s="157">
        <v>0</v>
      </c>
      <c r="K268" s="383"/>
    </row>
    <row r="269" spans="1:11" s="182" customFormat="1" x14ac:dyDescent="0.15">
      <c r="A269" s="383"/>
      <c r="B269">
        <v>1347100952</v>
      </c>
      <c r="D269" s="278" t="s">
        <v>1957</v>
      </c>
      <c r="E269" s="183"/>
      <c r="F269" s="157">
        <v>88020</v>
      </c>
      <c r="G269" s="166"/>
      <c r="H269" s="157">
        <v>25704</v>
      </c>
      <c r="I269" s="166"/>
      <c r="J269" s="157">
        <v>15229</v>
      </c>
      <c r="K269" s="383"/>
    </row>
    <row r="270" spans="1:11" s="182" customFormat="1" x14ac:dyDescent="0.15">
      <c r="A270" s="383"/>
      <c r="B270">
        <v>1347100953</v>
      </c>
      <c r="D270" s="278" t="s">
        <v>1958</v>
      </c>
      <c r="E270" s="183"/>
      <c r="F270" s="157">
        <v>56076</v>
      </c>
      <c r="G270" s="166"/>
      <c r="H270" s="157">
        <v>60750</v>
      </c>
      <c r="I270" s="166"/>
      <c r="J270" s="157">
        <v>82026</v>
      </c>
      <c r="K270" s="383"/>
    </row>
    <row r="271" spans="1:11" s="182" customFormat="1" x14ac:dyDescent="0.15">
      <c r="A271" s="383"/>
      <c r="B271">
        <v>1347100954</v>
      </c>
      <c r="D271" s="278" t="s">
        <v>1959</v>
      </c>
      <c r="E271" s="183"/>
      <c r="F271" s="157">
        <v>3750</v>
      </c>
      <c r="G271" s="166"/>
      <c r="H271" s="157">
        <v>61200</v>
      </c>
      <c r="I271" s="166"/>
      <c r="J271" s="157">
        <v>13920</v>
      </c>
      <c r="K271" s="383"/>
    </row>
    <row r="272" spans="1:11" s="182" customFormat="1" x14ac:dyDescent="0.15">
      <c r="A272" s="383"/>
      <c r="B272">
        <v>1347110780</v>
      </c>
      <c r="D272" s="278" t="s">
        <v>2186</v>
      </c>
      <c r="E272" s="183"/>
      <c r="F272" s="157">
        <v>157500</v>
      </c>
      <c r="G272" s="166"/>
      <c r="H272" s="157"/>
      <c r="I272" s="166"/>
      <c r="J272" s="157"/>
      <c r="K272" s="383"/>
    </row>
    <row r="273" spans="1:11" s="182" customFormat="1" x14ac:dyDescent="0.15">
      <c r="A273" s="383"/>
      <c r="B273">
        <v>1347110930</v>
      </c>
      <c r="D273" s="278" t="s">
        <v>464</v>
      </c>
      <c r="E273" s="183"/>
      <c r="F273" s="157">
        <v>0</v>
      </c>
      <c r="G273" s="166"/>
      <c r="H273" s="157">
        <v>0</v>
      </c>
      <c r="I273" s="166"/>
      <c r="J273" s="157">
        <v>113589</v>
      </c>
      <c r="K273" s="383"/>
    </row>
    <row r="274" spans="1:11" x14ac:dyDescent="0.15">
      <c r="A274" s="383"/>
      <c r="B274">
        <v>1347300930</v>
      </c>
      <c r="D274" s="278" t="s">
        <v>466</v>
      </c>
      <c r="F274" s="157">
        <v>4500</v>
      </c>
      <c r="H274" s="157">
        <v>4500</v>
      </c>
      <c r="J274" s="157">
        <v>3182</v>
      </c>
      <c r="K274" s="383"/>
    </row>
    <row r="275" spans="1:11" x14ac:dyDescent="0.15">
      <c r="A275" s="383"/>
      <c r="B275">
        <v>1347300936</v>
      </c>
      <c r="D275" s="278" t="s">
        <v>1425</v>
      </c>
      <c r="F275" s="157">
        <v>139012</v>
      </c>
      <c r="H275" s="157">
        <v>150873.29999999999</v>
      </c>
      <c r="J275" s="157">
        <v>163109</v>
      </c>
      <c r="K275" s="383"/>
    </row>
    <row r="276" spans="1:11" x14ac:dyDescent="0.15">
      <c r="A276" s="383"/>
      <c r="B276">
        <v>1347300937</v>
      </c>
      <c r="D276" s="278" t="s">
        <v>96</v>
      </c>
      <c r="F276" s="157">
        <v>41303</v>
      </c>
      <c r="H276" s="157">
        <v>4500</v>
      </c>
      <c r="J276" s="157">
        <v>4415</v>
      </c>
      <c r="K276" s="383"/>
    </row>
    <row r="277" spans="1:11" x14ac:dyDescent="0.15">
      <c r="A277" s="383"/>
      <c r="B277">
        <v>1347400931</v>
      </c>
      <c r="D277" s="278" t="s">
        <v>1730</v>
      </c>
      <c r="F277" s="157">
        <v>0</v>
      </c>
      <c r="H277" s="157">
        <v>220704</v>
      </c>
      <c r="J277" s="157">
        <v>283037</v>
      </c>
      <c r="K277" s="383"/>
    </row>
    <row r="278" spans="1:11" s="182" customFormat="1" x14ac:dyDescent="0.15">
      <c r="A278" s="383"/>
      <c r="B278">
        <v>1347400933</v>
      </c>
      <c r="D278" s="278" t="s">
        <v>471</v>
      </c>
      <c r="E278" s="183"/>
      <c r="F278" s="157">
        <v>0</v>
      </c>
      <c r="G278" s="166"/>
      <c r="H278" s="157">
        <v>0</v>
      </c>
      <c r="I278" s="166"/>
      <c r="J278" s="157">
        <v>0</v>
      </c>
      <c r="K278" s="383"/>
    </row>
    <row r="279" spans="1:11" s="182" customFormat="1" x14ac:dyDescent="0.15">
      <c r="A279" s="383"/>
      <c r="B279">
        <v>1347400936</v>
      </c>
      <c r="D279" s="278" t="s">
        <v>2027</v>
      </c>
      <c r="E279" s="183"/>
      <c r="F279" s="157">
        <v>0</v>
      </c>
      <c r="G279" s="166"/>
      <c r="H279" s="157">
        <v>0</v>
      </c>
      <c r="I279" s="166"/>
      <c r="J279" s="157">
        <v>10187</v>
      </c>
      <c r="K279" s="383"/>
    </row>
    <row r="280" spans="1:11" s="182" customFormat="1" x14ac:dyDescent="0.15">
      <c r="A280" s="383"/>
      <c r="B280">
        <v>1348200931</v>
      </c>
      <c r="D280" s="278" t="s">
        <v>474</v>
      </c>
      <c r="E280" s="183"/>
      <c r="F280" s="157">
        <v>18000</v>
      </c>
      <c r="G280" s="166"/>
      <c r="H280" s="157">
        <v>18750</v>
      </c>
      <c r="I280" s="166"/>
      <c r="J280" s="157">
        <v>19738</v>
      </c>
      <c r="K280" s="383"/>
    </row>
    <row r="281" spans="1:11" x14ac:dyDescent="0.15">
      <c r="A281" s="383"/>
      <c r="B281">
        <v>1348200937</v>
      </c>
      <c r="D281" s="278" t="s">
        <v>1365</v>
      </c>
      <c r="F281" s="157">
        <v>9750</v>
      </c>
      <c r="H281" s="157">
        <v>8250</v>
      </c>
      <c r="J281" s="157">
        <v>8852</v>
      </c>
      <c r="K281" s="383"/>
    </row>
    <row r="282" spans="1:11" x14ac:dyDescent="0.15">
      <c r="A282" s="383"/>
      <c r="B282">
        <v>1348200938</v>
      </c>
      <c r="D282" s="278" t="s">
        <v>1731</v>
      </c>
      <c r="F282" s="157">
        <v>8250</v>
      </c>
      <c r="H282" s="157">
        <v>0</v>
      </c>
      <c r="J282" s="157">
        <v>0</v>
      </c>
      <c r="K282" s="383"/>
    </row>
    <row r="283" spans="1:11" x14ac:dyDescent="0.15">
      <c r="A283" s="383"/>
      <c r="B283">
        <v>1348300930</v>
      </c>
      <c r="D283" s="278" t="s">
        <v>475</v>
      </c>
      <c r="F283" s="157">
        <v>9750</v>
      </c>
      <c r="H283" s="157">
        <v>37500</v>
      </c>
      <c r="J283" s="157">
        <v>20724</v>
      </c>
      <c r="K283" s="383"/>
    </row>
    <row r="284" spans="1:11" s="182" customFormat="1" x14ac:dyDescent="0.15">
      <c r="A284" s="383"/>
      <c r="B284">
        <v>1348300932</v>
      </c>
      <c r="D284" s="278" t="s">
        <v>2086</v>
      </c>
      <c r="E284" s="183"/>
      <c r="F284" s="157">
        <v>0</v>
      </c>
      <c r="G284" s="166"/>
      <c r="H284" s="157">
        <v>0</v>
      </c>
      <c r="I284" s="166"/>
      <c r="J284" s="157">
        <v>0</v>
      </c>
      <c r="K284" s="383"/>
    </row>
    <row r="285" spans="1:11" x14ac:dyDescent="0.15">
      <c r="A285" s="383"/>
      <c r="B285">
        <v>1348400930</v>
      </c>
      <c r="D285" s="278" t="s">
        <v>476</v>
      </c>
      <c r="F285" s="157">
        <v>1500</v>
      </c>
      <c r="H285" s="157">
        <v>1500</v>
      </c>
      <c r="J285" s="157">
        <v>1441</v>
      </c>
      <c r="K285" s="383"/>
    </row>
    <row r="286" spans="1:11" s="182" customFormat="1" x14ac:dyDescent="0.15">
      <c r="A286" s="383"/>
      <c r="B286">
        <v>1348500932</v>
      </c>
      <c r="D286" s="278" t="s">
        <v>477</v>
      </c>
      <c r="E286" s="183"/>
      <c r="F286" s="157">
        <v>36750</v>
      </c>
      <c r="G286" s="166"/>
      <c r="H286" s="157">
        <v>37500</v>
      </c>
      <c r="I286" s="166"/>
      <c r="J286" s="157">
        <v>19156</v>
      </c>
      <c r="K286" s="383"/>
    </row>
    <row r="287" spans="1:11" x14ac:dyDescent="0.15">
      <c r="A287" s="383"/>
      <c r="B287">
        <v>1349000422</v>
      </c>
      <c r="D287" s="278" t="s">
        <v>1200</v>
      </c>
      <c r="F287" s="157">
        <v>0</v>
      </c>
      <c r="H287" s="157">
        <v>3000</v>
      </c>
      <c r="J287" s="157">
        <v>2860</v>
      </c>
      <c r="K287" s="383"/>
    </row>
    <row r="288" spans="1:11" s="182" customFormat="1" x14ac:dyDescent="0.15">
      <c r="A288" s="383"/>
      <c r="B288">
        <v>1349000930</v>
      </c>
      <c r="C288"/>
      <c r="D288" s="278" t="s">
        <v>478</v>
      </c>
      <c r="E288" s="183"/>
      <c r="F288" s="157">
        <v>0</v>
      </c>
      <c r="G288" s="166"/>
      <c r="H288" s="157">
        <v>16009.92</v>
      </c>
      <c r="I288" s="166"/>
      <c r="J288" s="157">
        <v>13232</v>
      </c>
      <c r="K288" s="383"/>
    </row>
    <row r="289" spans="1:11" x14ac:dyDescent="0.15">
      <c r="A289" s="383"/>
      <c r="B289">
        <v>1349000932</v>
      </c>
      <c r="D289" s="278" t="s">
        <v>1732</v>
      </c>
      <c r="F289" s="157">
        <v>17226</v>
      </c>
      <c r="H289" s="157">
        <v>13747.86</v>
      </c>
      <c r="J289" s="157">
        <v>20846</v>
      </c>
      <c r="K289" s="383"/>
    </row>
    <row r="290" spans="1:11" x14ac:dyDescent="0.15">
      <c r="A290" s="383"/>
      <c r="B290">
        <v>1349000934</v>
      </c>
      <c r="D290" s="278" t="s">
        <v>482</v>
      </c>
      <c r="F290" s="157">
        <v>0</v>
      </c>
      <c r="H290" s="157">
        <v>89826.3</v>
      </c>
      <c r="J290" s="157">
        <v>67805</v>
      </c>
      <c r="K290" s="383"/>
    </row>
    <row r="291" spans="1:11" x14ac:dyDescent="0.15">
      <c r="A291" s="383"/>
      <c r="B291">
        <v>1349000935</v>
      </c>
      <c r="D291" s="278" t="s">
        <v>483</v>
      </c>
      <c r="F291" s="157">
        <v>18000</v>
      </c>
      <c r="H291" s="157">
        <v>50625</v>
      </c>
      <c r="J291" s="157">
        <v>47980</v>
      </c>
      <c r="K291" s="383"/>
    </row>
    <row r="292" spans="1:11" x14ac:dyDescent="0.15">
      <c r="A292" s="383"/>
      <c r="B292">
        <v>1349000938</v>
      </c>
      <c r="D292" s="278" t="s">
        <v>484</v>
      </c>
      <c r="F292" s="157">
        <v>35556</v>
      </c>
      <c r="H292" s="157">
        <v>35640</v>
      </c>
      <c r="J292" s="157">
        <v>42537</v>
      </c>
      <c r="K292" s="383"/>
    </row>
    <row r="293" spans="1:11" x14ac:dyDescent="0.15">
      <c r="A293" s="383"/>
      <c r="B293">
        <v>1349000941</v>
      </c>
      <c r="D293" s="278" t="s">
        <v>1733</v>
      </c>
      <c r="F293" s="157">
        <v>139950</v>
      </c>
      <c r="H293" s="157">
        <v>135634.5</v>
      </c>
      <c r="J293" s="157">
        <v>132733</v>
      </c>
      <c r="K293" s="383"/>
    </row>
    <row r="294" spans="1:11" s="182" customFormat="1" x14ac:dyDescent="0.15">
      <c r="A294" s="383"/>
      <c r="B294">
        <v>1349000952</v>
      </c>
      <c r="D294" s="278" t="s">
        <v>2087</v>
      </c>
      <c r="E294" s="183"/>
      <c r="F294" s="157">
        <v>0</v>
      </c>
      <c r="G294" s="166"/>
      <c r="H294" s="157">
        <v>0</v>
      </c>
      <c r="I294" s="166"/>
      <c r="J294" s="157">
        <v>0</v>
      </c>
      <c r="K294" s="383"/>
    </row>
    <row r="295" spans="1:11" x14ac:dyDescent="0.15">
      <c r="A295" s="383"/>
      <c r="B295">
        <v>1349001931</v>
      </c>
      <c r="D295" s="278" t="s">
        <v>1366</v>
      </c>
      <c r="F295" s="157">
        <v>150000</v>
      </c>
      <c r="H295" s="157">
        <v>150000</v>
      </c>
      <c r="J295" s="157">
        <v>143584</v>
      </c>
      <c r="K295" s="383"/>
    </row>
    <row r="296" spans="1:11" x14ac:dyDescent="0.15">
      <c r="A296" s="383"/>
      <c r="B296">
        <v>1349001937</v>
      </c>
      <c r="D296" s="278" t="s">
        <v>486</v>
      </c>
      <c r="F296" s="157">
        <v>3750</v>
      </c>
      <c r="H296" s="157">
        <v>15000</v>
      </c>
      <c r="J296" s="157">
        <v>13998</v>
      </c>
      <c r="K296" s="383"/>
    </row>
    <row r="297" spans="1:11" x14ac:dyDescent="0.15">
      <c r="A297" s="383"/>
      <c r="B297">
        <v>1349001939</v>
      </c>
      <c r="D297" s="278" t="s">
        <v>487</v>
      </c>
      <c r="F297" s="157">
        <v>15300</v>
      </c>
      <c r="H297" s="157">
        <v>15750</v>
      </c>
      <c r="J297" s="157">
        <v>11866</v>
      </c>
      <c r="K297" s="383"/>
    </row>
    <row r="298" spans="1:11" x14ac:dyDescent="0.15">
      <c r="A298" s="383"/>
      <c r="B298">
        <v>1349002420</v>
      </c>
      <c r="D298" s="278" t="s">
        <v>1201</v>
      </c>
      <c r="F298" s="157">
        <v>6000</v>
      </c>
      <c r="H298" s="157">
        <v>4000</v>
      </c>
      <c r="J298" s="157">
        <v>3535</v>
      </c>
      <c r="K298" s="383"/>
    </row>
    <row r="299" spans="1:11" x14ac:dyDescent="0.15">
      <c r="A299" s="383"/>
      <c r="B299">
        <v>1349002939</v>
      </c>
      <c r="D299" s="278" t="s">
        <v>488</v>
      </c>
      <c r="F299" s="157">
        <v>0</v>
      </c>
      <c r="H299" s="157">
        <v>0</v>
      </c>
      <c r="J299" s="157">
        <v>2720</v>
      </c>
      <c r="K299" s="383"/>
    </row>
    <row r="300" spans="1:11" x14ac:dyDescent="0.15">
      <c r="A300" s="383"/>
      <c r="B300">
        <v>1349300930</v>
      </c>
      <c r="D300" s="278" t="s">
        <v>1439</v>
      </c>
      <c r="F300" s="157">
        <v>0</v>
      </c>
      <c r="H300" s="157">
        <v>15000</v>
      </c>
      <c r="I300" s="165"/>
      <c r="J300" s="157">
        <v>5238</v>
      </c>
      <c r="K300" s="383"/>
    </row>
    <row r="301" spans="1:11" x14ac:dyDescent="0.15">
      <c r="A301" s="383"/>
      <c r="B301">
        <v>1349300931</v>
      </c>
      <c r="D301" s="278" t="s">
        <v>1598</v>
      </c>
      <c r="F301" s="157">
        <v>12750</v>
      </c>
      <c r="H301" s="157">
        <v>0</v>
      </c>
      <c r="J301" s="157">
        <v>0</v>
      </c>
      <c r="K301" s="383"/>
    </row>
    <row r="302" spans="1:11" ht="14" thickBot="1" x14ac:dyDescent="0.2">
      <c r="A302" s="383"/>
      <c r="B302"/>
      <c r="C302"/>
      <c r="D302" s="279"/>
      <c r="F302" s="158"/>
      <c r="H302" s="158"/>
      <c r="J302" s="158"/>
      <c r="K302" s="383"/>
    </row>
    <row r="303" spans="1:11" ht="14" thickBot="1" x14ac:dyDescent="0.2">
      <c r="A303" s="383"/>
      <c r="D303" s="280" t="s">
        <v>1202</v>
      </c>
      <c r="F303" s="162">
        <v>48646003</v>
      </c>
      <c r="G303" s="169">
        <v>0</v>
      </c>
      <c r="H303" s="162">
        <v>45385991.109999992</v>
      </c>
      <c r="I303" s="169">
        <v>0</v>
      </c>
      <c r="J303" s="162">
        <v>43860009.289999999</v>
      </c>
      <c r="K303" s="383"/>
    </row>
    <row r="304" spans="1:11" ht="14" thickBot="1" x14ac:dyDescent="0.2">
      <c r="A304" s="383"/>
      <c r="B304" s="155">
        <v>1360000410</v>
      </c>
      <c r="D304" s="282" t="s">
        <v>342</v>
      </c>
      <c r="F304" s="157">
        <v>80000</v>
      </c>
      <c r="G304" s="165"/>
      <c r="H304" s="157">
        <v>30000</v>
      </c>
      <c r="J304" s="157">
        <v>72385</v>
      </c>
      <c r="K304" s="383"/>
    </row>
    <row r="305" spans="1:11" ht="14" thickBot="1" x14ac:dyDescent="0.2">
      <c r="A305" s="383"/>
      <c r="D305" s="284" t="s">
        <v>1203</v>
      </c>
      <c r="F305" s="179">
        <v>80000</v>
      </c>
      <c r="G305" s="169">
        <v>0</v>
      </c>
      <c r="H305" s="179">
        <v>30000</v>
      </c>
      <c r="I305" s="169">
        <v>0</v>
      </c>
      <c r="J305" s="179">
        <v>72385</v>
      </c>
      <c r="K305" s="383"/>
    </row>
    <row r="306" spans="1:11" x14ac:dyDescent="0.15">
      <c r="A306" s="383"/>
      <c r="D306" s="285"/>
      <c r="G306" s="169"/>
      <c r="I306" s="169"/>
      <c r="K306" s="383"/>
    </row>
    <row r="307" spans="1:11" ht="14" thickBot="1" x14ac:dyDescent="0.2">
      <c r="A307" s="383"/>
      <c r="D307" s="280"/>
      <c r="F307" s="158"/>
      <c r="G307" s="169"/>
      <c r="H307" s="158"/>
      <c r="I307" s="169"/>
      <c r="J307" s="158"/>
      <c r="K307" s="383"/>
    </row>
    <row r="308" spans="1:11" ht="14" thickBot="1" x14ac:dyDescent="0.2">
      <c r="A308" s="383"/>
      <c r="D308" s="280" t="s">
        <v>1204</v>
      </c>
      <c r="F308" s="162">
        <v>159211480</v>
      </c>
      <c r="G308" s="169">
        <v>0</v>
      </c>
      <c r="H308" s="162">
        <v>152659034.10999998</v>
      </c>
      <c r="I308" s="169">
        <v>0</v>
      </c>
      <c r="J308" s="162">
        <v>151125211.50999996</v>
      </c>
      <c r="K308" s="383"/>
    </row>
    <row r="309" spans="1:11" x14ac:dyDescent="0.15">
      <c r="A309" s="383"/>
      <c r="B309">
        <v>1413100211</v>
      </c>
      <c r="D309" s="278" t="s">
        <v>1440</v>
      </c>
      <c r="F309" s="157">
        <v>0</v>
      </c>
      <c r="H309" s="157">
        <v>0</v>
      </c>
      <c r="J309" s="157">
        <v>0</v>
      </c>
      <c r="K309" s="383"/>
    </row>
    <row r="310" spans="1:11" x14ac:dyDescent="0.15">
      <c r="A310" s="383"/>
      <c r="B310">
        <v>1413100212</v>
      </c>
      <c r="D310" s="278" t="s">
        <v>280</v>
      </c>
      <c r="F310" s="157">
        <v>350000</v>
      </c>
      <c r="H310" s="157">
        <v>415000</v>
      </c>
      <c r="J310" s="157">
        <v>557543.25</v>
      </c>
      <c r="K310" s="383"/>
    </row>
    <row r="311" spans="1:11" s="182" customFormat="1" x14ac:dyDescent="0.15">
      <c r="A311" s="383"/>
      <c r="B311">
        <v>1413100215</v>
      </c>
      <c r="D311" s="278" t="s">
        <v>1443</v>
      </c>
      <c r="E311" s="183"/>
      <c r="F311" s="157">
        <v>0</v>
      </c>
      <c r="G311" s="166"/>
      <c r="H311" s="157">
        <v>0</v>
      </c>
      <c r="I311" s="166"/>
      <c r="J311" s="157"/>
      <c r="K311" s="383"/>
    </row>
    <row r="312" spans="1:11" x14ac:dyDescent="0.15">
      <c r="A312" s="383"/>
      <c r="B312">
        <v>1413100216</v>
      </c>
      <c r="D312" s="278" t="s">
        <v>1444</v>
      </c>
      <c r="F312" s="157">
        <v>1000</v>
      </c>
      <c r="H312" s="157">
        <v>1000</v>
      </c>
      <c r="J312" s="157">
        <v>2859.4</v>
      </c>
      <c r="K312" s="383"/>
    </row>
    <row r="313" spans="1:11" x14ac:dyDescent="0.15">
      <c r="A313" s="383"/>
      <c r="B313">
        <v>1413100217</v>
      </c>
      <c r="D313" s="278" t="s">
        <v>1445</v>
      </c>
      <c r="F313" s="157">
        <v>1105</v>
      </c>
      <c r="H313" s="157">
        <v>2500</v>
      </c>
      <c r="J313" s="157">
        <v>1528.95</v>
      </c>
      <c r="K313" s="383"/>
    </row>
    <row r="314" spans="1:11" x14ac:dyDescent="0.15">
      <c r="A314" s="383"/>
      <c r="B314">
        <v>1413100221</v>
      </c>
      <c r="D314" s="278" t="s">
        <v>343</v>
      </c>
      <c r="F314" s="157">
        <v>3360</v>
      </c>
      <c r="H314" s="157">
        <v>1500</v>
      </c>
      <c r="J314" s="157">
        <v>1801.8</v>
      </c>
      <c r="K314" s="383"/>
    </row>
    <row r="315" spans="1:11" ht="14" thickBot="1" x14ac:dyDescent="0.2">
      <c r="A315" s="383"/>
      <c r="B315">
        <v>1413200220</v>
      </c>
      <c r="D315" s="279" t="s">
        <v>1</v>
      </c>
      <c r="F315" s="158">
        <v>3360</v>
      </c>
      <c r="H315" s="158">
        <v>4000</v>
      </c>
      <c r="J315" s="158">
        <v>402061.91</v>
      </c>
      <c r="K315" s="383"/>
    </row>
    <row r="316" spans="1:11" x14ac:dyDescent="0.15">
      <c r="A316" s="383"/>
      <c r="D316" s="283" t="s">
        <v>1205</v>
      </c>
      <c r="F316" s="169">
        <v>358825</v>
      </c>
      <c r="G316" s="169">
        <v>0</v>
      </c>
      <c r="H316" s="169">
        <v>424000</v>
      </c>
      <c r="I316" s="169">
        <v>0</v>
      </c>
      <c r="J316" s="169">
        <v>965795.31</v>
      </c>
      <c r="K316" s="383"/>
    </row>
    <row r="317" spans="1:11" x14ac:dyDescent="0.15">
      <c r="A317" s="383"/>
      <c r="B317">
        <v>1433000215</v>
      </c>
      <c r="D317" s="278" t="s">
        <v>1734</v>
      </c>
      <c r="F317" s="157">
        <v>150000</v>
      </c>
      <c r="H317" s="157">
        <v>30000</v>
      </c>
      <c r="J317" s="157">
        <v>32235</v>
      </c>
      <c r="K317" s="383"/>
    </row>
    <row r="318" spans="1:11" x14ac:dyDescent="0.15">
      <c r="A318" s="383"/>
      <c r="B318">
        <v>1433000641</v>
      </c>
      <c r="D318" s="278" t="s">
        <v>1735</v>
      </c>
      <c r="F318" s="157">
        <v>416516</v>
      </c>
      <c r="H318" s="157">
        <v>450000</v>
      </c>
      <c r="J318" s="157">
        <v>343828.89</v>
      </c>
      <c r="K318" s="383"/>
    </row>
    <row r="319" spans="1:11" x14ac:dyDescent="0.15">
      <c r="A319" s="383"/>
      <c r="B319">
        <v>1433000642</v>
      </c>
      <c r="D319" s="278" t="s">
        <v>346</v>
      </c>
      <c r="F319" s="157">
        <v>730095</v>
      </c>
      <c r="H319" s="157">
        <v>1300000</v>
      </c>
      <c r="J319" s="157">
        <v>1658109.78</v>
      </c>
      <c r="K319" s="383"/>
    </row>
    <row r="320" spans="1:11" x14ac:dyDescent="0.15">
      <c r="A320" s="383"/>
      <c r="B320">
        <v>1433000644</v>
      </c>
      <c r="D320" s="278" t="s">
        <v>347</v>
      </c>
      <c r="F320" s="157">
        <v>329741</v>
      </c>
      <c r="H320" s="157">
        <v>281000</v>
      </c>
      <c r="J320" s="157">
        <v>281029.81</v>
      </c>
      <c r="K320" s="383"/>
    </row>
    <row r="321" spans="1:11" x14ac:dyDescent="0.15">
      <c r="A321" s="383"/>
      <c r="B321">
        <v>1437000215</v>
      </c>
      <c r="D321" s="278" t="s">
        <v>1736</v>
      </c>
      <c r="F321" s="157">
        <v>75000</v>
      </c>
      <c r="H321" s="157">
        <v>50000</v>
      </c>
      <c r="J321" s="157">
        <v>60488.6</v>
      </c>
      <c r="K321" s="383"/>
    </row>
    <row r="322" spans="1:11" x14ac:dyDescent="0.15">
      <c r="A322" s="383"/>
      <c r="B322">
        <v>1437000640</v>
      </c>
      <c r="D322" s="278" t="s">
        <v>245</v>
      </c>
      <c r="F322" s="157">
        <v>1197870</v>
      </c>
      <c r="H322" s="157">
        <v>300000</v>
      </c>
      <c r="J322" s="157">
        <v>407383.75</v>
      </c>
      <c r="K322" s="383"/>
    </row>
    <row r="323" spans="1:11" s="182" customFormat="1" x14ac:dyDescent="0.15">
      <c r="A323" s="383"/>
      <c r="B323">
        <v>1437000642</v>
      </c>
      <c r="D323" s="278" t="s">
        <v>2088</v>
      </c>
      <c r="E323" s="183"/>
      <c r="F323" s="157">
        <v>60000</v>
      </c>
      <c r="G323" s="166"/>
      <c r="H323" s="157">
        <v>71332</v>
      </c>
      <c r="I323" s="166"/>
      <c r="J323" s="157">
        <v>0</v>
      </c>
      <c r="K323" s="383"/>
    </row>
    <row r="324" spans="1:11" ht="14" thickBot="1" x14ac:dyDescent="0.2">
      <c r="A324" s="383"/>
      <c r="B324">
        <v>1439000690</v>
      </c>
      <c r="D324" s="279" t="s">
        <v>6</v>
      </c>
      <c r="F324" s="158">
        <v>0</v>
      </c>
      <c r="H324" s="158">
        <v>0</v>
      </c>
      <c r="J324" s="158">
        <v>0</v>
      </c>
      <c r="K324" s="383"/>
    </row>
    <row r="325" spans="1:11" x14ac:dyDescent="0.15">
      <c r="A325" s="383"/>
      <c r="D325" s="283" t="s">
        <v>1207</v>
      </c>
      <c r="F325" s="169">
        <v>2959222</v>
      </c>
      <c r="G325" s="169">
        <v>0</v>
      </c>
      <c r="H325" s="169">
        <v>2482332</v>
      </c>
      <c r="I325" s="169">
        <v>0</v>
      </c>
      <c r="J325" s="169">
        <v>2783075.83</v>
      </c>
      <c r="K325" s="383"/>
    </row>
    <row r="326" spans="1:11" x14ac:dyDescent="0.15">
      <c r="A326" s="383"/>
      <c r="B326">
        <v>1443100220</v>
      </c>
      <c r="D326" s="278" t="s">
        <v>350</v>
      </c>
      <c r="F326" s="157">
        <v>10800</v>
      </c>
      <c r="H326" s="157">
        <v>7000</v>
      </c>
      <c r="J326" s="157">
        <v>31149.87</v>
      </c>
      <c r="K326" s="383"/>
    </row>
    <row r="327" spans="1:11" x14ac:dyDescent="0.15">
      <c r="A327" s="383"/>
      <c r="B327">
        <v>1443100290</v>
      </c>
      <c r="D327" s="278" t="s">
        <v>351</v>
      </c>
      <c r="F327" s="157">
        <v>3500000</v>
      </c>
      <c r="H327" s="157">
        <v>3850000</v>
      </c>
      <c r="J327" s="157">
        <v>4152833.56</v>
      </c>
      <c r="K327" s="383"/>
    </row>
    <row r="328" spans="1:11" x14ac:dyDescent="0.15">
      <c r="A328" s="383"/>
      <c r="B328">
        <v>1443100291</v>
      </c>
      <c r="D328" s="278" t="s">
        <v>1599</v>
      </c>
      <c r="F328" s="157">
        <v>350000</v>
      </c>
      <c r="H328" s="157">
        <v>300000</v>
      </c>
      <c r="J328" s="157">
        <v>338692.01</v>
      </c>
      <c r="K328" s="383"/>
    </row>
    <row r="329" spans="1:11" x14ac:dyDescent="0.15">
      <c r="A329" s="383"/>
      <c r="B329">
        <v>1443100292</v>
      </c>
      <c r="D329" s="278" t="s">
        <v>353</v>
      </c>
      <c r="F329" s="157">
        <v>403200</v>
      </c>
      <c r="H329" s="157">
        <v>725832</v>
      </c>
      <c r="J329" s="157">
        <v>646280.94999999995</v>
      </c>
      <c r="K329" s="383"/>
    </row>
    <row r="330" spans="1:11" x14ac:dyDescent="0.15">
      <c r="A330" s="383"/>
      <c r="B330">
        <v>1443100293</v>
      </c>
      <c r="D330" s="278" t="s">
        <v>354</v>
      </c>
      <c r="F330" s="157">
        <v>840000</v>
      </c>
      <c r="H330" s="157">
        <v>1350000</v>
      </c>
      <c r="J330" s="157">
        <v>1334867.8999999999</v>
      </c>
      <c r="K330" s="383"/>
    </row>
    <row r="331" spans="1:11" x14ac:dyDescent="0.15">
      <c r="A331" s="383"/>
      <c r="B331">
        <v>1443100295</v>
      </c>
      <c r="D331" s="278" t="s">
        <v>1737</v>
      </c>
      <c r="F331" s="157">
        <v>0</v>
      </c>
      <c r="H331" s="157">
        <v>0</v>
      </c>
      <c r="J331" s="157">
        <v>0</v>
      </c>
      <c r="K331" s="383"/>
    </row>
    <row r="332" spans="1:11" s="182" customFormat="1" x14ac:dyDescent="0.15">
      <c r="A332" s="383"/>
      <c r="B332">
        <v>1443100296</v>
      </c>
      <c r="D332" s="278" t="s">
        <v>1535</v>
      </c>
      <c r="E332" s="183"/>
      <c r="F332" s="157">
        <v>1068000</v>
      </c>
      <c r="G332" s="166"/>
      <c r="H332" s="157">
        <v>930304</v>
      </c>
      <c r="I332" s="166"/>
      <c r="J332" s="157">
        <v>963116.06</v>
      </c>
      <c r="K332" s="383"/>
    </row>
    <row r="333" spans="1:11" s="182" customFormat="1" x14ac:dyDescent="0.15">
      <c r="A333" s="383"/>
      <c r="B333">
        <v>1443100297</v>
      </c>
      <c r="D333" s="278" t="s">
        <v>1534</v>
      </c>
      <c r="E333" s="183"/>
      <c r="F333" s="157">
        <v>109200</v>
      </c>
      <c r="G333" s="166"/>
      <c r="H333" s="157">
        <v>64949</v>
      </c>
      <c r="I333" s="166"/>
      <c r="J333" s="157">
        <v>74036.240000000005</v>
      </c>
      <c r="K333" s="383"/>
    </row>
    <row r="334" spans="1:11" ht="14" thickBot="1" x14ac:dyDescent="0.2">
      <c r="A334" s="383"/>
      <c r="B334">
        <v>1444000490</v>
      </c>
      <c r="D334" s="279" t="s">
        <v>356</v>
      </c>
      <c r="F334" s="158">
        <v>15000</v>
      </c>
      <c r="H334" s="158">
        <v>14206</v>
      </c>
      <c r="J334" s="158">
        <v>21004</v>
      </c>
      <c r="K334" s="383"/>
    </row>
    <row r="335" spans="1:11" x14ac:dyDescent="0.15">
      <c r="A335" s="383"/>
      <c r="D335" s="283" t="s">
        <v>1208</v>
      </c>
      <c r="F335" s="169">
        <v>6296200</v>
      </c>
      <c r="G335" s="169">
        <v>0</v>
      </c>
      <c r="H335" s="169">
        <v>7242291</v>
      </c>
      <c r="I335" s="169">
        <v>0</v>
      </c>
      <c r="J335" s="169">
        <v>7561980.5900000017</v>
      </c>
      <c r="K335" s="383"/>
    </row>
    <row r="336" spans="1:11" x14ac:dyDescent="0.15">
      <c r="A336" s="383"/>
      <c r="B336">
        <v>1472000212</v>
      </c>
      <c r="D336" s="278" t="s">
        <v>357</v>
      </c>
      <c r="F336" s="157">
        <v>100000</v>
      </c>
      <c r="H336" s="157">
        <v>120000</v>
      </c>
      <c r="J336" s="157">
        <v>123126.05</v>
      </c>
      <c r="K336" s="383"/>
    </row>
    <row r="337" spans="1:11" s="182" customFormat="1" x14ac:dyDescent="0.15">
      <c r="A337" s="383"/>
      <c r="B337">
        <v>1472000213</v>
      </c>
      <c r="D337" s="278" t="s">
        <v>358</v>
      </c>
      <c r="E337" s="183"/>
      <c r="F337" s="157">
        <v>0</v>
      </c>
      <c r="G337" s="166"/>
      <c r="H337" s="157">
        <v>0</v>
      </c>
      <c r="I337" s="166"/>
      <c r="J337" s="157">
        <v>2126291.04</v>
      </c>
      <c r="K337" s="383"/>
    </row>
    <row r="338" spans="1:11" x14ac:dyDescent="0.15">
      <c r="A338" s="383"/>
      <c r="B338">
        <v>1472000215</v>
      </c>
      <c r="D338" s="278" t="s">
        <v>359</v>
      </c>
      <c r="F338" s="157">
        <v>0</v>
      </c>
      <c r="H338" s="157">
        <v>0</v>
      </c>
      <c r="J338" s="157">
        <v>60662.400000000001</v>
      </c>
      <c r="K338" s="383"/>
    </row>
    <row r="339" spans="1:11" ht="14" thickBot="1" x14ac:dyDescent="0.2">
      <c r="A339" s="383"/>
      <c r="D339" s="282"/>
      <c r="K339" s="383"/>
    </row>
    <row r="340" spans="1:11" ht="14" thickBot="1" x14ac:dyDescent="0.2">
      <c r="A340" s="383"/>
      <c r="D340" s="280" t="s">
        <v>1210</v>
      </c>
      <c r="F340" s="179">
        <v>100000</v>
      </c>
      <c r="G340" s="169">
        <v>0</v>
      </c>
      <c r="H340" s="179">
        <v>120000</v>
      </c>
      <c r="I340" s="169">
        <v>0</v>
      </c>
      <c r="J340" s="179">
        <v>2310079.4899999998</v>
      </c>
      <c r="K340" s="383"/>
    </row>
    <row r="341" spans="1:11" ht="14" thickBot="1" x14ac:dyDescent="0.2">
      <c r="A341" s="383"/>
      <c r="D341" s="280" t="s">
        <v>1211</v>
      </c>
      <c r="F341" s="162">
        <v>9714247</v>
      </c>
      <c r="G341" s="169">
        <v>0</v>
      </c>
      <c r="H341" s="162">
        <v>10268623</v>
      </c>
      <c r="I341" s="169">
        <v>0</v>
      </c>
      <c r="J341" s="162">
        <v>13620931.220000003</v>
      </c>
      <c r="K341" s="383"/>
    </row>
    <row r="342" spans="1:11" ht="14" thickBot="1" x14ac:dyDescent="0.2">
      <c r="A342" s="383"/>
      <c r="B342">
        <v>1570000920</v>
      </c>
      <c r="D342" s="286" t="s">
        <v>71</v>
      </c>
      <c r="E342" s="176"/>
      <c r="F342" s="157">
        <v>0</v>
      </c>
      <c r="G342" s="180"/>
      <c r="H342" s="157">
        <v>0</v>
      </c>
      <c r="I342" s="180"/>
      <c r="J342" s="157">
        <v>0</v>
      </c>
      <c r="K342" s="383"/>
    </row>
    <row r="343" spans="1:11" ht="14" thickBot="1" x14ac:dyDescent="0.2">
      <c r="A343" s="383"/>
      <c r="D343" s="280" t="s">
        <v>72</v>
      </c>
      <c r="F343" s="179">
        <v>0</v>
      </c>
      <c r="G343" s="169">
        <v>0</v>
      </c>
      <c r="H343" s="179">
        <v>0</v>
      </c>
      <c r="I343" s="169">
        <v>0</v>
      </c>
      <c r="J343" s="179">
        <v>0</v>
      </c>
      <c r="K343" s="383"/>
    </row>
    <row r="344" spans="1:11" x14ac:dyDescent="0.15">
      <c r="A344" s="383"/>
      <c r="B344">
        <v>1594000590</v>
      </c>
      <c r="D344" s="278" t="s">
        <v>1212</v>
      </c>
      <c r="F344" s="157">
        <v>500000</v>
      </c>
      <c r="H344" s="157">
        <v>434607</v>
      </c>
      <c r="J344" s="157">
        <v>1277023.8899999999</v>
      </c>
      <c r="K344" s="383"/>
    </row>
    <row r="345" spans="1:11" s="182" customFormat="1" x14ac:dyDescent="0.15">
      <c r="A345" s="383"/>
      <c r="B345">
        <v>1594100590</v>
      </c>
      <c r="D345" s="278" t="s">
        <v>1213</v>
      </c>
      <c r="E345" s="183"/>
      <c r="F345" s="157">
        <v>500000</v>
      </c>
      <c r="G345" s="166"/>
      <c r="H345" s="157">
        <v>4074602</v>
      </c>
      <c r="I345" s="166"/>
      <c r="J345" s="157">
        <v>1666007.41</v>
      </c>
      <c r="K345" s="383"/>
    </row>
    <row r="346" spans="1:11" ht="15" thickBot="1" x14ac:dyDescent="0.2">
      <c r="A346" s="383"/>
      <c r="B346" s="155">
        <v>1599000980</v>
      </c>
      <c r="D346" s="325" t="s">
        <v>1214</v>
      </c>
      <c r="F346" s="157">
        <v>0</v>
      </c>
      <c r="H346" s="157">
        <v>0</v>
      </c>
      <c r="J346" s="157">
        <v>5500000</v>
      </c>
      <c r="K346" s="383"/>
    </row>
    <row r="347" spans="1:11" ht="14" thickBot="1" x14ac:dyDescent="0.2">
      <c r="A347" s="383"/>
      <c r="D347" s="280" t="s">
        <v>1215</v>
      </c>
      <c r="F347" s="179">
        <v>1000000</v>
      </c>
      <c r="G347" s="169">
        <v>0</v>
      </c>
      <c r="H347" s="179">
        <v>4509209</v>
      </c>
      <c r="I347" s="169">
        <v>0</v>
      </c>
      <c r="J347" s="179">
        <v>8443031.3000000007</v>
      </c>
      <c r="K347" s="383"/>
    </row>
    <row r="348" spans="1:11" ht="14" thickBot="1" x14ac:dyDescent="0.2">
      <c r="A348" s="383"/>
      <c r="D348" s="280" t="s">
        <v>1216</v>
      </c>
      <c r="F348" s="162">
        <v>1000000</v>
      </c>
      <c r="G348" s="169">
        <v>0</v>
      </c>
      <c r="H348" s="162">
        <v>4509209</v>
      </c>
      <c r="I348" s="169">
        <v>0</v>
      </c>
      <c r="J348" s="162">
        <v>8443031.3000000007</v>
      </c>
      <c r="K348" s="383"/>
    </row>
    <row r="349" spans="1:11" x14ac:dyDescent="0.15">
      <c r="A349" s="383"/>
      <c r="D349" s="287"/>
      <c r="G349" s="169"/>
      <c r="I349" s="169"/>
      <c r="K349" s="383"/>
    </row>
    <row r="350" spans="1:11" ht="15" thickBot="1" x14ac:dyDescent="0.2">
      <c r="A350" s="383"/>
      <c r="D350" s="288" t="s">
        <v>1217</v>
      </c>
      <c r="E350" s="167"/>
      <c r="F350" s="170">
        <v>438903061</v>
      </c>
      <c r="G350" s="171">
        <v>0</v>
      </c>
      <c r="H350" s="170">
        <v>428172194.56999999</v>
      </c>
      <c r="I350" s="171">
        <v>0</v>
      </c>
      <c r="J350" s="170">
        <v>405101583.90999997</v>
      </c>
      <c r="K350" s="383"/>
    </row>
    <row r="351" spans="1:11" ht="14" thickTop="1" x14ac:dyDescent="0.15">
      <c r="A351" s="383"/>
      <c r="D351" s="287"/>
      <c r="G351" s="169"/>
      <c r="I351" s="169"/>
      <c r="K351" s="383"/>
    </row>
    <row r="352" spans="1:11" x14ac:dyDescent="0.15">
      <c r="A352" s="383"/>
      <c r="B352">
        <v>1610000981</v>
      </c>
      <c r="D352" s="278" t="s">
        <v>73</v>
      </c>
      <c r="E352" s="176"/>
      <c r="F352" s="157">
        <v>0</v>
      </c>
      <c r="G352" s="180"/>
      <c r="H352" s="157">
        <v>0</v>
      </c>
      <c r="I352" s="180"/>
      <c r="J352" s="157">
        <v>0</v>
      </c>
      <c r="K352" s="383"/>
    </row>
    <row r="353" spans="1:11" x14ac:dyDescent="0.15">
      <c r="A353" s="383"/>
      <c r="B353">
        <v>1611000110</v>
      </c>
      <c r="D353" s="278" t="s">
        <v>511</v>
      </c>
      <c r="F353" s="157">
        <v>1193051</v>
      </c>
      <c r="H353" s="157">
        <v>2360459</v>
      </c>
      <c r="J353" s="157">
        <v>2379387.2000000002</v>
      </c>
      <c r="K353" s="383"/>
    </row>
    <row r="354" spans="1:11" x14ac:dyDescent="0.15">
      <c r="A354" s="383"/>
      <c r="B354">
        <v>1611000210</v>
      </c>
      <c r="D354" s="278" t="s">
        <v>1739</v>
      </c>
      <c r="F354" s="157">
        <v>0</v>
      </c>
      <c r="H354" s="157">
        <v>33000</v>
      </c>
      <c r="J354" s="157">
        <v>20148.62</v>
      </c>
      <c r="K354" s="383"/>
    </row>
    <row r="355" spans="1:11" x14ac:dyDescent="0.15">
      <c r="A355" s="383"/>
      <c r="B355">
        <v>1611000511</v>
      </c>
      <c r="D355" s="278" t="s">
        <v>544</v>
      </c>
      <c r="F355" s="157">
        <v>64179.200000000004</v>
      </c>
      <c r="H355" s="157">
        <v>77000</v>
      </c>
      <c r="J355" s="157">
        <v>58047.38</v>
      </c>
      <c r="K355" s="383"/>
    </row>
    <row r="356" spans="1:11" x14ac:dyDescent="0.15">
      <c r="A356" s="383"/>
      <c r="B356">
        <v>1611000512</v>
      </c>
      <c r="D356" s="278" t="s">
        <v>1740</v>
      </c>
      <c r="F356" s="157">
        <v>12500</v>
      </c>
      <c r="H356" s="157">
        <v>15000</v>
      </c>
      <c r="J356" s="157">
        <v>8340.58</v>
      </c>
      <c r="K356" s="383"/>
    </row>
    <row r="357" spans="1:11" x14ac:dyDescent="0.15">
      <c r="A357" s="383"/>
      <c r="B357">
        <v>1611000514</v>
      </c>
      <c r="D357" s="278" t="s">
        <v>546</v>
      </c>
      <c r="F357" s="157">
        <v>8000</v>
      </c>
      <c r="H357" s="157">
        <v>8000</v>
      </c>
      <c r="J357" s="157">
        <v>4001.4</v>
      </c>
      <c r="K357" s="383"/>
    </row>
    <row r="358" spans="1:11" x14ac:dyDescent="0.15">
      <c r="A358" s="383"/>
      <c r="B358">
        <v>1611000521</v>
      </c>
      <c r="D358" s="278" t="s">
        <v>547</v>
      </c>
      <c r="F358" s="157">
        <v>15000</v>
      </c>
      <c r="H358" s="157">
        <v>20000</v>
      </c>
      <c r="J358" s="157">
        <v>14629.04</v>
      </c>
      <c r="K358" s="383"/>
    </row>
    <row r="359" spans="1:11" x14ac:dyDescent="0.15">
      <c r="A359" s="383"/>
      <c r="B359">
        <v>1611000522</v>
      </c>
      <c r="D359" s="278" t="s">
        <v>548</v>
      </c>
      <c r="F359" s="157">
        <v>19000</v>
      </c>
      <c r="H359" s="157">
        <v>20500</v>
      </c>
      <c r="J359" s="157">
        <v>18816.47</v>
      </c>
      <c r="K359" s="383"/>
    </row>
    <row r="360" spans="1:11" x14ac:dyDescent="0.15">
      <c r="A360" s="383"/>
      <c r="B360">
        <v>1611000523</v>
      </c>
      <c r="D360" s="278" t="s">
        <v>549</v>
      </c>
      <c r="F360" s="157">
        <v>6500</v>
      </c>
      <c r="H360" s="157">
        <v>8500</v>
      </c>
      <c r="J360" s="157">
        <v>0</v>
      </c>
      <c r="K360" s="383"/>
    </row>
    <row r="361" spans="1:11" x14ac:dyDescent="0.15">
      <c r="A361" s="383"/>
      <c r="B361">
        <v>1611000560</v>
      </c>
      <c r="D361" s="278" t="s">
        <v>550</v>
      </c>
      <c r="F361" s="157">
        <v>13000</v>
      </c>
      <c r="H361" s="157">
        <v>18000</v>
      </c>
      <c r="J361" s="157">
        <v>10503.6</v>
      </c>
      <c r="K361" s="383"/>
    </row>
    <row r="362" spans="1:11" x14ac:dyDescent="0.15">
      <c r="A362" s="383"/>
      <c r="B362">
        <v>1611000580</v>
      </c>
      <c r="D362" s="278" t="s">
        <v>551</v>
      </c>
      <c r="F362" s="157">
        <v>6360</v>
      </c>
      <c r="H362" s="157">
        <v>10200</v>
      </c>
      <c r="J362" s="157">
        <v>9383.56</v>
      </c>
      <c r="K362" s="383"/>
    </row>
    <row r="363" spans="1:11" s="182" customFormat="1" x14ac:dyDescent="0.15">
      <c r="A363" s="383"/>
      <c r="B363">
        <v>1611000581</v>
      </c>
      <c r="D363" s="278" t="s">
        <v>1741</v>
      </c>
      <c r="E363" s="183"/>
      <c r="F363" s="157">
        <v>5760</v>
      </c>
      <c r="G363" s="166"/>
      <c r="H363" s="157">
        <v>10025</v>
      </c>
      <c r="I363" s="166"/>
      <c r="J363" s="157">
        <v>2761.58</v>
      </c>
      <c r="K363" s="383"/>
    </row>
    <row r="364" spans="1:11" x14ac:dyDescent="0.15">
      <c r="A364" s="383"/>
      <c r="B364">
        <v>1611000760</v>
      </c>
      <c r="D364" s="278" t="s">
        <v>552</v>
      </c>
      <c r="F364" s="157">
        <v>18732</v>
      </c>
      <c r="H364" s="157">
        <v>1561</v>
      </c>
      <c r="J364" s="157">
        <v>18724.509999999998</v>
      </c>
      <c r="K364" s="383"/>
    </row>
    <row r="365" spans="1:11" x14ac:dyDescent="0.15">
      <c r="A365" s="383"/>
      <c r="B365">
        <v>1611000780</v>
      </c>
      <c r="D365" s="278" t="s">
        <v>553</v>
      </c>
      <c r="F365" s="157">
        <v>17500</v>
      </c>
      <c r="H365" s="157">
        <v>21000</v>
      </c>
      <c r="J365" s="157">
        <v>18487.990000000002</v>
      </c>
      <c r="K365" s="383"/>
    </row>
    <row r="366" spans="1:11" x14ac:dyDescent="0.15">
      <c r="A366" s="383"/>
      <c r="B366">
        <v>1611000930</v>
      </c>
      <c r="D366" s="278" t="s">
        <v>554</v>
      </c>
      <c r="F366" s="157">
        <v>25000</v>
      </c>
      <c r="H366" s="157">
        <v>25000</v>
      </c>
      <c r="J366" s="157">
        <v>9325.6</v>
      </c>
      <c r="K366" s="383"/>
    </row>
    <row r="367" spans="1:11" x14ac:dyDescent="0.15">
      <c r="A367" s="383"/>
      <c r="B367">
        <v>1611000970</v>
      </c>
      <c r="D367" s="278" t="s">
        <v>555</v>
      </c>
      <c r="F367" s="157">
        <v>96000</v>
      </c>
      <c r="H367" s="157">
        <v>96000</v>
      </c>
      <c r="J367" s="157">
        <v>96000</v>
      </c>
      <c r="K367" s="383"/>
    </row>
    <row r="368" spans="1:11" x14ac:dyDescent="0.15">
      <c r="A368" s="383"/>
      <c r="B368">
        <v>1611000980</v>
      </c>
      <c r="D368" s="278" t="s">
        <v>556</v>
      </c>
      <c r="F368" s="157">
        <v>130000</v>
      </c>
      <c r="H368" s="157">
        <v>131335</v>
      </c>
      <c r="J368" s="157">
        <v>142737.06</v>
      </c>
      <c r="K368" s="383"/>
    </row>
    <row r="369" spans="1:11" s="182" customFormat="1" x14ac:dyDescent="0.15">
      <c r="A369" s="383"/>
      <c r="B369">
        <v>1611000981</v>
      </c>
      <c r="D369" s="278" t="s">
        <v>1577</v>
      </c>
      <c r="E369" s="183"/>
      <c r="F369" s="157">
        <v>0</v>
      </c>
      <c r="G369" s="166"/>
      <c r="H369" s="157">
        <v>491000</v>
      </c>
      <c r="I369" s="166"/>
      <c r="J369" s="157">
        <v>88923.62</v>
      </c>
      <c r="K369" s="383"/>
    </row>
    <row r="370" spans="1:11" x14ac:dyDescent="0.15">
      <c r="A370" s="383"/>
      <c r="B370">
        <v>1611001530</v>
      </c>
      <c r="D370" s="278" t="s">
        <v>1742</v>
      </c>
      <c r="F370" s="157">
        <v>99800</v>
      </c>
      <c r="H370" s="157">
        <v>104704</v>
      </c>
      <c r="J370" s="157">
        <v>104199.26</v>
      </c>
      <c r="K370" s="383"/>
    </row>
    <row r="371" spans="1:11" s="182" customFormat="1" x14ac:dyDescent="0.15">
      <c r="A371" s="383"/>
      <c r="B371">
        <v>1611002731</v>
      </c>
      <c r="D371" s="278" t="s">
        <v>1743</v>
      </c>
      <c r="E371" s="183"/>
      <c r="F371" s="157">
        <v>14500</v>
      </c>
      <c r="G371" s="166"/>
      <c r="H371" s="157">
        <v>14375</v>
      </c>
      <c r="I371" s="166"/>
      <c r="J371" s="157">
        <v>11435.18</v>
      </c>
      <c r="K371" s="383"/>
    </row>
    <row r="372" spans="1:11" x14ac:dyDescent="0.15">
      <c r="A372" s="383"/>
      <c r="B372">
        <v>1611100110</v>
      </c>
      <c r="D372" s="278" t="s">
        <v>512</v>
      </c>
      <c r="F372" s="157">
        <v>2155697</v>
      </c>
      <c r="H372" s="157">
        <v>1942647</v>
      </c>
      <c r="J372" s="157">
        <v>1922015.11</v>
      </c>
      <c r="K372" s="383"/>
    </row>
    <row r="373" spans="1:11" x14ac:dyDescent="0.15">
      <c r="A373" s="383"/>
      <c r="B373">
        <v>1611100441</v>
      </c>
      <c r="D373" s="278" t="s">
        <v>558</v>
      </c>
      <c r="F373" s="157">
        <v>117571</v>
      </c>
      <c r="H373" s="157">
        <v>111500</v>
      </c>
      <c r="J373" s="157">
        <v>150777</v>
      </c>
      <c r="K373" s="383"/>
    </row>
    <row r="374" spans="1:11" x14ac:dyDescent="0.15">
      <c r="A374" s="383"/>
      <c r="B374">
        <v>1611100530</v>
      </c>
      <c r="D374" s="278" t="s">
        <v>99</v>
      </c>
      <c r="F374" s="157">
        <v>0</v>
      </c>
      <c r="H374" s="157">
        <v>0</v>
      </c>
      <c r="J374" s="157">
        <v>0</v>
      </c>
      <c r="K374" s="383"/>
    </row>
    <row r="375" spans="1:11" x14ac:dyDescent="0.15">
      <c r="A375" s="383"/>
      <c r="B375">
        <v>1611120530</v>
      </c>
      <c r="D375" s="278" t="s">
        <v>1744</v>
      </c>
      <c r="F375" s="157">
        <v>92000</v>
      </c>
      <c r="H375" s="157">
        <v>87068</v>
      </c>
      <c r="J375" s="157">
        <v>78413.62</v>
      </c>
      <c r="K375" s="383"/>
    </row>
    <row r="376" spans="1:11" x14ac:dyDescent="0.15">
      <c r="A376" s="383"/>
      <c r="B376">
        <v>1612000110</v>
      </c>
      <c r="D376" s="278" t="s">
        <v>513</v>
      </c>
      <c r="F376" s="157">
        <v>536247</v>
      </c>
      <c r="H376" s="157">
        <v>443890</v>
      </c>
      <c r="J376" s="157">
        <v>453220.61</v>
      </c>
      <c r="K376" s="383"/>
    </row>
    <row r="377" spans="1:11" x14ac:dyDescent="0.15">
      <c r="A377" s="383"/>
      <c r="B377">
        <v>1612000440</v>
      </c>
      <c r="D377" s="278" t="s">
        <v>561</v>
      </c>
      <c r="F377" s="157">
        <v>3900</v>
      </c>
      <c r="H377" s="157">
        <v>8577.2000000000007</v>
      </c>
      <c r="J377" s="157">
        <v>9749.1</v>
      </c>
      <c r="K377" s="383"/>
    </row>
    <row r="378" spans="1:11" x14ac:dyDescent="0.15">
      <c r="A378" s="383"/>
      <c r="B378">
        <v>1612000511</v>
      </c>
      <c r="D378" s="278" t="s">
        <v>19</v>
      </c>
      <c r="F378" s="157">
        <v>0</v>
      </c>
      <c r="H378" s="157">
        <v>1000</v>
      </c>
      <c r="J378" s="157">
        <v>0</v>
      </c>
      <c r="K378" s="383"/>
    </row>
    <row r="379" spans="1:11" x14ac:dyDescent="0.15">
      <c r="A379" s="383"/>
      <c r="B379">
        <v>1612000521</v>
      </c>
      <c r="D379" s="278" t="s">
        <v>562</v>
      </c>
      <c r="F379" s="157">
        <v>3500</v>
      </c>
      <c r="H379" s="157">
        <v>4500</v>
      </c>
      <c r="J379" s="157">
        <v>4148</v>
      </c>
      <c r="K379" s="383"/>
    </row>
    <row r="380" spans="1:11" x14ac:dyDescent="0.15">
      <c r="A380" s="383"/>
      <c r="B380">
        <v>1612000522</v>
      </c>
      <c r="D380" s="278" t="s">
        <v>563</v>
      </c>
      <c r="F380" s="157">
        <v>0</v>
      </c>
      <c r="H380" s="157">
        <v>0</v>
      </c>
      <c r="J380" s="157">
        <v>0</v>
      </c>
      <c r="K380" s="383"/>
    </row>
    <row r="381" spans="1:11" x14ac:dyDescent="0.15">
      <c r="A381" s="383"/>
      <c r="B381">
        <v>1612000523</v>
      </c>
      <c r="D381" s="278" t="s">
        <v>564</v>
      </c>
      <c r="F381" s="157">
        <v>1150</v>
      </c>
      <c r="H381" s="157">
        <v>1150</v>
      </c>
      <c r="J381" s="157">
        <v>1100</v>
      </c>
      <c r="K381" s="383"/>
    </row>
    <row r="382" spans="1:11" x14ac:dyDescent="0.15">
      <c r="A382" s="383"/>
      <c r="B382">
        <v>1612000530</v>
      </c>
      <c r="D382" s="278" t="s">
        <v>1531</v>
      </c>
      <c r="F382" s="157">
        <v>72500</v>
      </c>
      <c r="H382" s="157">
        <v>74334</v>
      </c>
      <c r="J382" s="157">
        <v>75232.399999999994</v>
      </c>
      <c r="K382" s="383"/>
    </row>
    <row r="383" spans="1:11" x14ac:dyDescent="0.15">
      <c r="A383" s="383"/>
      <c r="B383">
        <v>1612000560</v>
      </c>
      <c r="D383" s="278" t="s">
        <v>566</v>
      </c>
      <c r="F383" s="157">
        <v>500</v>
      </c>
      <c r="H383" s="157">
        <v>700</v>
      </c>
      <c r="J383" s="157">
        <v>662.53</v>
      </c>
      <c r="K383" s="383"/>
    </row>
    <row r="384" spans="1:11" x14ac:dyDescent="0.15">
      <c r="A384" s="383"/>
      <c r="B384">
        <v>1612000581</v>
      </c>
      <c r="D384" s="278" t="s">
        <v>1745</v>
      </c>
      <c r="F384" s="157">
        <v>360</v>
      </c>
      <c r="H384" s="157">
        <v>372</v>
      </c>
      <c r="J384" s="157">
        <v>328.14</v>
      </c>
      <c r="K384" s="383"/>
    </row>
    <row r="385" spans="1:11" s="182" customFormat="1" x14ac:dyDescent="0.15">
      <c r="A385" s="383"/>
      <c r="B385">
        <v>1612000780</v>
      </c>
      <c r="D385" s="278" t="s">
        <v>567</v>
      </c>
      <c r="E385" s="183"/>
      <c r="F385" s="157">
        <v>81500</v>
      </c>
      <c r="G385" s="166"/>
      <c r="H385" s="157">
        <v>31500</v>
      </c>
      <c r="I385" s="166"/>
      <c r="J385" s="157">
        <v>6483</v>
      </c>
      <c r="K385" s="383"/>
    </row>
    <row r="386" spans="1:11" s="182" customFormat="1" x14ac:dyDescent="0.15">
      <c r="A386" s="383"/>
      <c r="B386">
        <v>1612000930</v>
      </c>
      <c r="D386" s="278" t="s">
        <v>568</v>
      </c>
      <c r="E386" s="183"/>
      <c r="F386" s="157">
        <v>2000</v>
      </c>
      <c r="G386" s="166"/>
      <c r="H386" s="157">
        <v>4500</v>
      </c>
      <c r="I386" s="166"/>
      <c r="J386" s="157">
        <v>0</v>
      </c>
      <c r="K386" s="383"/>
    </row>
    <row r="387" spans="1:11" x14ac:dyDescent="0.15">
      <c r="A387" s="383"/>
      <c r="B387">
        <v>1613000110</v>
      </c>
      <c r="D387" s="278" t="s">
        <v>514</v>
      </c>
      <c r="F387" s="157">
        <v>1357487</v>
      </c>
      <c r="H387" s="157">
        <v>1279946</v>
      </c>
      <c r="J387" s="157">
        <v>1266698.47</v>
      </c>
      <c r="K387" s="383"/>
    </row>
    <row r="388" spans="1:11" x14ac:dyDescent="0.15">
      <c r="A388" s="383"/>
      <c r="B388">
        <v>1613000440</v>
      </c>
      <c r="D388" s="278" t="s">
        <v>558</v>
      </c>
      <c r="F388" s="157">
        <v>3900</v>
      </c>
      <c r="H388" s="157">
        <v>8577.2000000000007</v>
      </c>
      <c r="J388" s="157">
        <v>9749.1</v>
      </c>
      <c r="K388" s="383"/>
    </row>
    <row r="389" spans="1:11" x14ac:dyDescent="0.15">
      <c r="A389" s="383"/>
      <c r="B389">
        <v>1613000511</v>
      </c>
      <c r="D389" s="278" t="s">
        <v>1746</v>
      </c>
      <c r="F389" s="157">
        <v>8852.7999999999993</v>
      </c>
      <c r="H389" s="157">
        <v>9400</v>
      </c>
      <c r="J389" s="157">
        <v>1233.8599999999999</v>
      </c>
      <c r="K389" s="383"/>
    </row>
    <row r="390" spans="1:11" x14ac:dyDescent="0.15">
      <c r="A390" s="383"/>
      <c r="B390">
        <v>1613000512</v>
      </c>
      <c r="D390" s="278" t="s">
        <v>1747</v>
      </c>
      <c r="F390" s="157">
        <v>1500</v>
      </c>
      <c r="H390" s="157">
        <v>2000</v>
      </c>
      <c r="J390" s="157">
        <v>1979.18</v>
      </c>
      <c r="K390" s="383"/>
    </row>
    <row r="391" spans="1:11" x14ac:dyDescent="0.15">
      <c r="A391" s="383"/>
      <c r="B391">
        <v>1613000520</v>
      </c>
      <c r="D391" s="278" t="s">
        <v>571</v>
      </c>
      <c r="F391" s="157">
        <v>1800</v>
      </c>
      <c r="H391" s="157">
        <v>2000</v>
      </c>
      <c r="J391" s="157">
        <v>1637.44</v>
      </c>
      <c r="K391" s="383"/>
    </row>
    <row r="392" spans="1:11" x14ac:dyDescent="0.15">
      <c r="A392" s="383"/>
      <c r="B392">
        <v>1613000521</v>
      </c>
      <c r="D392" s="278" t="s">
        <v>572</v>
      </c>
      <c r="F392" s="157">
        <v>5000</v>
      </c>
      <c r="H392" s="157">
        <v>6000</v>
      </c>
      <c r="J392" s="157">
        <v>4153</v>
      </c>
      <c r="K392" s="383"/>
    </row>
    <row r="393" spans="1:11" x14ac:dyDescent="0.15">
      <c r="A393" s="383"/>
      <c r="B393">
        <v>1613000522</v>
      </c>
      <c r="D393" s="278" t="s">
        <v>573</v>
      </c>
      <c r="F393" s="157">
        <v>3700</v>
      </c>
      <c r="H393" s="157">
        <v>3658</v>
      </c>
      <c r="J393" s="157">
        <v>400</v>
      </c>
      <c r="K393" s="383"/>
    </row>
    <row r="394" spans="1:11" x14ac:dyDescent="0.15">
      <c r="A394" s="383"/>
      <c r="B394">
        <v>1613000523</v>
      </c>
      <c r="D394" s="278" t="s">
        <v>574</v>
      </c>
      <c r="F394" s="157">
        <v>1700</v>
      </c>
      <c r="H394" s="157">
        <v>2000</v>
      </c>
      <c r="J394" s="157">
        <v>1600</v>
      </c>
      <c r="K394" s="383"/>
    </row>
    <row r="395" spans="1:11" x14ac:dyDescent="0.15">
      <c r="A395" s="383"/>
      <c r="B395">
        <v>1613000530</v>
      </c>
      <c r="D395" s="278" t="s">
        <v>1748</v>
      </c>
      <c r="F395" s="157">
        <v>67000</v>
      </c>
      <c r="H395" s="157">
        <v>72496</v>
      </c>
      <c r="J395" s="157">
        <v>71625.94</v>
      </c>
      <c r="K395" s="383"/>
    </row>
    <row r="396" spans="1:11" s="182" customFormat="1" x14ac:dyDescent="0.15">
      <c r="A396" s="383"/>
      <c r="B396">
        <v>1613000560</v>
      </c>
      <c r="D396" s="278" t="s">
        <v>576</v>
      </c>
      <c r="E396" s="183"/>
      <c r="F396" s="157">
        <v>5000</v>
      </c>
      <c r="G396" s="166"/>
      <c r="H396" s="157">
        <v>4510</v>
      </c>
      <c r="I396" s="166"/>
      <c r="J396" s="157">
        <v>3879.76</v>
      </c>
      <c r="K396" s="383"/>
    </row>
    <row r="397" spans="1:11" x14ac:dyDescent="0.15">
      <c r="A397" s="383"/>
      <c r="B397">
        <v>1613000580</v>
      </c>
      <c r="D397" s="278" t="s">
        <v>577</v>
      </c>
      <c r="F397" s="157">
        <v>2500</v>
      </c>
      <c r="H397" s="157">
        <v>2500</v>
      </c>
      <c r="J397" s="157">
        <v>1315.1</v>
      </c>
      <c r="K397" s="383"/>
    </row>
    <row r="398" spans="1:11" s="182" customFormat="1" x14ac:dyDescent="0.15">
      <c r="A398" s="383"/>
      <c r="B398">
        <v>1613000581</v>
      </c>
      <c r="D398" s="278" t="s">
        <v>1749</v>
      </c>
      <c r="E398" s="183"/>
      <c r="F398" s="157">
        <v>12960</v>
      </c>
      <c r="G398" s="166"/>
      <c r="H398" s="157">
        <v>13200</v>
      </c>
      <c r="I398" s="166"/>
      <c r="J398" s="157">
        <v>15337.19</v>
      </c>
      <c r="K398" s="383"/>
    </row>
    <row r="399" spans="1:11" x14ac:dyDescent="0.15">
      <c r="A399" s="383"/>
      <c r="B399">
        <v>1613000810</v>
      </c>
      <c r="D399" s="278" t="s">
        <v>578</v>
      </c>
      <c r="F399" s="157">
        <v>480000</v>
      </c>
      <c r="H399" s="157">
        <v>416900</v>
      </c>
      <c r="J399" s="157">
        <v>302980.21000000002</v>
      </c>
      <c r="K399" s="383"/>
    </row>
    <row r="400" spans="1:11" x14ac:dyDescent="0.15">
      <c r="A400" s="383"/>
      <c r="B400">
        <v>1613000910</v>
      </c>
      <c r="D400" s="278" t="s">
        <v>1750</v>
      </c>
      <c r="F400" s="157">
        <v>332500</v>
      </c>
      <c r="H400" s="157">
        <v>362500</v>
      </c>
      <c r="J400" s="157">
        <v>242500</v>
      </c>
      <c r="K400" s="383"/>
    </row>
    <row r="401" spans="1:11" s="182" customFormat="1" x14ac:dyDescent="0.15">
      <c r="A401" s="383"/>
      <c r="B401">
        <v>1613000930</v>
      </c>
      <c r="D401" s="278" t="s">
        <v>579</v>
      </c>
      <c r="E401" s="183"/>
      <c r="F401" s="157">
        <v>7000</v>
      </c>
      <c r="G401" s="166"/>
      <c r="H401" s="157">
        <v>10000</v>
      </c>
      <c r="I401" s="166"/>
      <c r="J401" s="157">
        <v>6757</v>
      </c>
      <c r="K401" s="383"/>
    </row>
    <row r="402" spans="1:11" x14ac:dyDescent="0.15">
      <c r="A402" s="383"/>
      <c r="B402">
        <v>1613000980</v>
      </c>
      <c r="D402" s="278" t="s">
        <v>580</v>
      </c>
      <c r="F402" s="157">
        <v>0</v>
      </c>
      <c r="H402" s="157">
        <v>0</v>
      </c>
      <c r="J402" s="157">
        <v>17294</v>
      </c>
      <c r="K402" s="383"/>
    </row>
    <row r="403" spans="1:11" x14ac:dyDescent="0.15">
      <c r="A403" s="383"/>
      <c r="B403">
        <v>1613000981</v>
      </c>
      <c r="D403" s="278" t="s">
        <v>1553</v>
      </c>
      <c r="F403" s="157">
        <v>3632</v>
      </c>
      <c r="H403" s="157">
        <v>10000</v>
      </c>
      <c r="J403" s="157">
        <v>16114.98</v>
      </c>
      <c r="K403" s="383"/>
    </row>
    <row r="404" spans="1:11" x14ac:dyDescent="0.15">
      <c r="A404" s="383"/>
      <c r="B404">
        <v>1614000110</v>
      </c>
      <c r="D404" s="278" t="s">
        <v>515</v>
      </c>
      <c r="F404" s="157">
        <v>753262</v>
      </c>
      <c r="H404" s="157">
        <v>715514</v>
      </c>
      <c r="J404" s="157">
        <v>707833.29</v>
      </c>
      <c r="K404" s="383"/>
    </row>
    <row r="405" spans="1:11" x14ac:dyDescent="0.15">
      <c r="A405" s="383"/>
      <c r="B405">
        <v>1614000470</v>
      </c>
      <c r="D405" s="278" t="s">
        <v>581</v>
      </c>
      <c r="F405" s="157">
        <v>800</v>
      </c>
      <c r="H405" s="157">
        <v>1000</v>
      </c>
      <c r="J405" s="157">
        <v>528.47</v>
      </c>
      <c r="K405" s="383"/>
    </row>
    <row r="406" spans="1:11" x14ac:dyDescent="0.15">
      <c r="A406" s="383"/>
      <c r="B406">
        <v>1614000511</v>
      </c>
      <c r="D406" s="278" t="s">
        <v>1751</v>
      </c>
      <c r="F406" s="157">
        <v>452.79999999999995</v>
      </c>
      <c r="H406" s="157">
        <v>1000</v>
      </c>
      <c r="J406" s="157">
        <v>353.05</v>
      </c>
      <c r="K406" s="383"/>
    </row>
    <row r="407" spans="1:11" x14ac:dyDescent="0.15">
      <c r="A407" s="383"/>
      <c r="B407">
        <v>1614000521</v>
      </c>
      <c r="D407" s="278" t="s">
        <v>582</v>
      </c>
      <c r="F407" s="157">
        <v>5500</v>
      </c>
      <c r="H407" s="157">
        <v>5500</v>
      </c>
      <c r="J407" s="157">
        <v>4220.17</v>
      </c>
      <c r="K407" s="383"/>
    </row>
    <row r="408" spans="1:11" s="182" customFormat="1" x14ac:dyDescent="0.15">
      <c r="A408" s="383"/>
      <c r="B408">
        <v>1614000522</v>
      </c>
      <c r="D408" s="278" t="s">
        <v>583</v>
      </c>
      <c r="E408" s="183"/>
      <c r="F408" s="157">
        <v>0</v>
      </c>
      <c r="G408" s="166"/>
      <c r="H408" s="157">
        <v>0</v>
      </c>
      <c r="I408" s="166"/>
      <c r="J408" s="157">
        <v>800</v>
      </c>
      <c r="K408" s="383"/>
    </row>
    <row r="409" spans="1:11" s="182" customFormat="1" x14ac:dyDescent="0.15">
      <c r="A409" s="383"/>
      <c r="B409">
        <v>1614000523</v>
      </c>
      <c r="D409" s="278" t="s">
        <v>2033</v>
      </c>
      <c r="E409" s="183"/>
      <c r="F409" s="157">
        <v>1000</v>
      </c>
      <c r="G409" s="166"/>
      <c r="H409" s="157">
        <v>1000</v>
      </c>
      <c r="I409" s="166"/>
      <c r="J409" s="157">
        <v>0</v>
      </c>
      <c r="K409" s="383"/>
    </row>
    <row r="410" spans="1:11" x14ac:dyDescent="0.15">
      <c r="A410" s="383"/>
      <c r="B410">
        <v>1614000550</v>
      </c>
      <c r="D410" s="278" t="s">
        <v>584</v>
      </c>
      <c r="F410" s="157">
        <v>183000</v>
      </c>
      <c r="H410" s="157">
        <v>190000</v>
      </c>
      <c r="J410" s="157">
        <v>176442.56</v>
      </c>
      <c r="K410" s="383"/>
    </row>
    <row r="411" spans="1:11" s="182" customFormat="1" x14ac:dyDescent="0.15">
      <c r="A411" s="383"/>
      <c r="B411">
        <v>1614000551</v>
      </c>
      <c r="D411" s="278" t="s">
        <v>2184</v>
      </c>
      <c r="E411" s="183"/>
      <c r="F411" s="157">
        <v>124000</v>
      </c>
      <c r="G411" s="166"/>
      <c r="H411" s="157">
        <v>0</v>
      </c>
      <c r="I411" s="166"/>
      <c r="J411" s="157">
        <v>0</v>
      </c>
      <c r="K411" s="383"/>
    </row>
    <row r="412" spans="1:11" s="182" customFormat="1" x14ac:dyDescent="0.15">
      <c r="A412" s="383"/>
      <c r="B412">
        <v>1614000570</v>
      </c>
      <c r="D412" s="278" t="s">
        <v>243</v>
      </c>
      <c r="E412" s="183"/>
      <c r="F412" s="157">
        <v>0</v>
      </c>
      <c r="G412" s="166"/>
      <c r="H412" s="157">
        <v>5000</v>
      </c>
      <c r="I412" s="166"/>
      <c r="J412" s="157">
        <v>5622.63</v>
      </c>
      <c r="K412" s="383"/>
    </row>
    <row r="413" spans="1:11" x14ac:dyDescent="0.15">
      <c r="A413" s="383"/>
      <c r="B413">
        <v>1614000581</v>
      </c>
      <c r="D413" s="278" t="s">
        <v>1752</v>
      </c>
      <c r="F413" s="157">
        <v>360</v>
      </c>
      <c r="H413" s="157">
        <v>360</v>
      </c>
      <c r="J413" s="157">
        <v>322.19</v>
      </c>
      <c r="K413" s="383"/>
    </row>
    <row r="414" spans="1:11" x14ac:dyDescent="0.15">
      <c r="A414" s="383"/>
      <c r="B414">
        <v>1614000930</v>
      </c>
      <c r="D414" s="278" t="s">
        <v>585</v>
      </c>
      <c r="F414" s="157">
        <v>2500</v>
      </c>
      <c r="H414" s="157">
        <v>2000</v>
      </c>
      <c r="J414" s="157">
        <v>1535.3</v>
      </c>
      <c r="K414" s="383"/>
    </row>
    <row r="415" spans="1:11" x14ac:dyDescent="0.15">
      <c r="A415" s="383"/>
      <c r="B415">
        <v>1614001551</v>
      </c>
      <c r="D415" s="278" t="s">
        <v>586</v>
      </c>
      <c r="F415" s="157">
        <v>80000</v>
      </c>
      <c r="H415" s="157">
        <v>100000</v>
      </c>
      <c r="J415" s="157">
        <v>46940.28</v>
      </c>
      <c r="K415" s="383"/>
    </row>
    <row r="416" spans="1:11" x14ac:dyDescent="0.15">
      <c r="A416" s="383"/>
      <c r="B416">
        <v>1615000110</v>
      </c>
      <c r="D416" s="278" t="s">
        <v>516</v>
      </c>
      <c r="F416" s="157">
        <v>1068009</v>
      </c>
      <c r="H416" s="157">
        <v>1015300</v>
      </c>
      <c r="J416" s="157">
        <v>946656.25</v>
      </c>
      <c r="K416" s="383"/>
    </row>
    <row r="417" spans="1:11" s="182" customFormat="1" x14ac:dyDescent="0.15">
      <c r="A417" s="383"/>
      <c r="B417">
        <v>1615000210</v>
      </c>
      <c r="D417" s="278" t="s">
        <v>2096</v>
      </c>
      <c r="E417" s="183"/>
      <c r="F417" s="157">
        <v>0</v>
      </c>
      <c r="G417" s="166"/>
      <c r="H417" s="157">
        <v>10500</v>
      </c>
      <c r="I417" s="166"/>
      <c r="J417" s="157">
        <v>0</v>
      </c>
      <c r="K417" s="383"/>
    </row>
    <row r="418" spans="1:11" x14ac:dyDescent="0.15">
      <c r="A418" s="383"/>
      <c r="B418">
        <v>1615000511</v>
      </c>
      <c r="D418" s="278" t="s">
        <v>1753</v>
      </c>
      <c r="F418" s="157">
        <v>5000</v>
      </c>
      <c r="H418" s="157">
        <v>5000</v>
      </c>
      <c r="J418" s="157">
        <v>668.1</v>
      </c>
      <c r="K418" s="383"/>
    </row>
    <row r="419" spans="1:11" s="182" customFormat="1" x14ac:dyDescent="0.15">
      <c r="A419" s="383"/>
      <c r="B419">
        <v>1615000521</v>
      </c>
      <c r="D419" s="278" t="s">
        <v>1754</v>
      </c>
      <c r="E419" s="183"/>
      <c r="F419" s="157">
        <v>1000</v>
      </c>
      <c r="G419" s="166"/>
      <c r="H419" s="157">
        <v>2000</v>
      </c>
      <c r="I419" s="166"/>
      <c r="J419" s="157">
        <v>1260</v>
      </c>
      <c r="K419" s="383"/>
    </row>
    <row r="420" spans="1:11" x14ac:dyDescent="0.15">
      <c r="A420" s="383"/>
      <c r="B420">
        <v>1615000522</v>
      </c>
      <c r="D420" s="278" t="s">
        <v>587</v>
      </c>
      <c r="F420" s="157">
        <v>1000</v>
      </c>
      <c r="H420" s="157">
        <v>2090</v>
      </c>
      <c r="J420" s="157">
        <v>250</v>
      </c>
      <c r="K420" s="383"/>
    </row>
    <row r="421" spans="1:11" x14ac:dyDescent="0.15">
      <c r="A421" s="383"/>
      <c r="B421">
        <v>1615000523</v>
      </c>
      <c r="D421" s="278" t="s">
        <v>588</v>
      </c>
      <c r="F421" s="157">
        <v>0</v>
      </c>
      <c r="H421" s="157">
        <v>900</v>
      </c>
      <c r="J421" s="157">
        <v>0</v>
      </c>
      <c r="K421" s="383"/>
    </row>
    <row r="422" spans="1:11" x14ac:dyDescent="0.15">
      <c r="A422" s="383"/>
      <c r="B422">
        <v>1615000560</v>
      </c>
      <c r="D422" s="278" t="s">
        <v>589</v>
      </c>
      <c r="F422" s="157">
        <v>3000</v>
      </c>
      <c r="H422" s="157">
        <v>4000</v>
      </c>
      <c r="J422" s="157">
        <v>3206.82</v>
      </c>
      <c r="K422" s="383"/>
    </row>
    <row r="423" spans="1:11" x14ac:dyDescent="0.15">
      <c r="A423" s="383"/>
      <c r="B423">
        <v>1615000571</v>
      </c>
      <c r="D423" s="278" t="s">
        <v>590</v>
      </c>
      <c r="F423" s="157">
        <v>6740</v>
      </c>
      <c r="H423" s="157">
        <v>6740</v>
      </c>
      <c r="J423" s="157">
        <v>6739</v>
      </c>
      <c r="K423" s="383"/>
    </row>
    <row r="424" spans="1:11" s="182" customFormat="1" x14ac:dyDescent="0.15">
      <c r="A424" s="383"/>
      <c r="B424">
        <v>1615000581</v>
      </c>
      <c r="D424" s="278" t="s">
        <v>1673</v>
      </c>
      <c r="E424" s="183"/>
      <c r="F424" s="157">
        <v>1620</v>
      </c>
      <c r="G424" s="166"/>
      <c r="H424" s="157">
        <v>1620</v>
      </c>
      <c r="I424" s="166"/>
      <c r="J424" s="157">
        <v>1430.48</v>
      </c>
      <c r="K424" s="383"/>
    </row>
    <row r="425" spans="1:11" x14ac:dyDescent="0.15">
      <c r="A425" s="383"/>
      <c r="B425">
        <v>1615000780</v>
      </c>
      <c r="D425" s="278" t="s">
        <v>591</v>
      </c>
      <c r="F425" s="157">
        <v>448900</v>
      </c>
      <c r="H425" s="157">
        <v>428150</v>
      </c>
      <c r="J425" s="157">
        <v>322087.5</v>
      </c>
      <c r="K425" s="383"/>
    </row>
    <row r="426" spans="1:11" x14ac:dyDescent="0.15">
      <c r="A426" s="383"/>
      <c r="B426">
        <v>1615000930</v>
      </c>
      <c r="D426" s="278" t="s">
        <v>592</v>
      </c>
      <c r="F426" s="157">
        <v>1500</v>
      </c>
      <c r="H426" s="157">
        <v>3510</v>
      </c>
      <c r="J426" s="157">
        <v>3531.56</v>
      </c>
      <c r="K426" s="383"/>
    </row>
    <row r="427" spans="1:11" x14ac:dyDescent="0.15">
      <c r="A427" s="383"/>
      <c r="B427">
        <v>1615000981</v>
      </c>
      <c r="D427" s="278" t="s">
        <v>652</v>
      </c>
      <c r="F427" s="157">
        <v>105000</v>
      </c>
      <c r="H427" s="157">
        <v>105000</v>
      </c>
      <c r="J427" s="157">
        <v>171650</v>
      </c>
      <c r="K427" s="383"/>
    </row>
    <row r="428" spans="1:11" x14ac:dyDescent="0.15">
      <c r="A428" s="383"/>
      <c r="B428">
        <v>1617000110</v>
      </c>
      <c r="D428" s="278" t="s">
        <v>1755</v>
      </c>
      <c r="F428" s="157">
        <v>2222606</v>
      </c>
      <c r="H428" s="157">
        <v>2228428</v>
      </c>
      <c r="J428" s="157">
        <v>2080722.12</v>
      </c>
      <c r="K428" s="383"/>
    </row>
    <row r="429" spans="1:11" x14ac:dyDescent="0.15">
      <c r="A429" s="383"/>
      <c r="B429">
        <v>1617000440</v>
      </c>
      <c r="D429" s="278" t="s">
        <v>593</v>
      </c>
      <c r="F429" s="157">
        <v>68000</v>
      </c>
      <c r="H429" s="157">
        <v>82153.2</v>
      </c>
      <c r="J429" s="157">
        <v>69569.100000000006</v>
      </c>
      <c r="K429" s="383"/>
    </row>
    <row r="430" spans="1:11" x14ac:dyDescent="0.15">
      <c r="A430" s="383"/>
      <c r="B430">
        <v>1617000441</v>
      </c>
      <c r="D430" s="278" t="s">
        <v>594</v>
      </c>
      <c r="F430" s="157">
        <v>572000</v>
      </c>
      <c r="H430" s="157">
        <v>572584</v>
      </c>
      <c r="J430" s="157">
        <v>819047</v>
      </c>
      <c r="K430" s="383"/>
    </row>
    <row r="431" spans="1:11" x14ac:dyDescent="0.15">
      <c r="A431" s="383"/>
      <c r="B431">
        <v>1617000442</v>
      </c>
      <c r="D431" s="278" t="s">
        <v>595</v>
      </c>
      <c r="F431" s="157">
        <v>400000</v>
      </c>
      <c r="H431" s="157">
        <v>400000</v>
      </c>
      <c r="J431" s="157">
        <v>246180</v>
      </c>
      <c r="K431" s="383"/>
    </row>
    <row r="432" spans="1:11" x14ac:dyDescent="0.15">
      <c r="A432" s="383"/>
      <c r="B432">
        <v>1617000500</v>
      </c>
      <c r="D432" s="278" t="s">
        <v>596</v>
      </c>
      <c r="F432" s="157">
        <v>50000</v>
      </c>
      <c r="H432" s="157">
        <v>70000</v>
      </c>
      <c r="J432" s="157">
        <v>36256.58</v>
      </c>
      <c r="K432" s="383"/>
    </row>
    <row r="433" spans="1:11" s="182" customFormat="1" x14ac:dyDescent="0.15">
      <c r="A433" s="383"/>
      <c r="B433">
        <v>1617000511</v>
      </c>
      <c r="C433"/>
      <c r="D433" s="278" t="s">
        <v>1756</v>
      </c>
      <c r="E433" s="183"/>
      <c r="F433" s="157">
        <v>3905.6</v>
      </c>
      <c r="G433" s="166"/>
      <c r="H433" s="157">
        <v>5000</v>
      </c>
      <c r="I433" s="166"/>
      <c r="J433" s="157">
        <v>2656.97</v>
      </c>
      <c r="K433" s="383"/>
    </row>
    <row r="434" spans="1:11" x14ac:dyDescent="0.15">
      <c r="A434" s="383"/>
      <c r="B434">
        <v>1617000512</v>
      </c>
      <c r="D434" s="278" t="s">
        <v>1757</v>
      </c>
      <c r="F434" s="157">
        <v>2000</v>
      </c>
      <c r="H434" s="157">
        <v>2000</v>
      </c>
      <c r="J434" s="157">
        <v>759.17</v>
      </c>
      <c r="K434" s="383"/>
    </row>
    <row r="435" spans="1:11" s="182" customFormat="1" x14ac:dyDescent="0.15">
      <c r="A435" s="383"/>
      <c r="B435">
        <v>1617000521</v>
      </c>
      <c r="D435" s="278" t="s">
        <v>1758</v>
      </c>
      <c r="E435" s="183"/>
      <c r="F435" s="157">
        <v>27000</v>
      </c>
      <c r="G435" s="166"/>
      <c r="H435" s="157">
        <v>8250</v>
      </c>
      <c r="I435" s="166"/>
      <c r="J435" s="157">
        <v>12910</v>
      </c>
      <c r="K435" s="383"/>
    </row>
    <row r="436" spans="1:11" s="182" customFormat="1" x14ac:dyDescent="0.15">
      <c r="A436" s="383"/>
      <c r="B436">
        <v>1617000522</v>
      </c>
      <c r="D436" s="278" t="s">
        <v>1759</v>
      </c>
      <c r="E436" s="183"/>
      <c r="F436" s="157">
        <v>16000</v>
      </c>
      <c r="G436" s="166"/>
      <c r="H436" s="157">
        <v>14800</v>
      </c>
      <c r="I436" s="166"/>
      <c r="J436" s="157">
        <v>10089.92</v>
      </c>
      <c r="K436" s="383"/>
    </row>
    <row r="437" spans="1:11" s="182" customFormat="1" x14ac:dyDescent="0.15">
      <c r="A437" s="383"/>
      <c r="B437">
        <v>1617000523</v>
      </c>
      <c r="D437" s="278" t="s">
        <v>1760</v>
      </c>
      <c r="E437" s="183"/>
      <c r="F437" s="157">
        <v>7000</v>
      </c>
      <c r="G437" s="166"/>
      <c r="H437" s="157">
        <v>7000</v>
      </c>
      <c r="I437" s="166"/>
      <c r="J437" s="157">
        <v>6758</v>
      </c>
      <c r="K437" s="383"/>
    </row>
    <row r="438" spans="1:11" s="182" customFormat="1" x14ac:dyDescent="0.15">
      <c r="A438" s="383"/>
      <c r="B438">
        <v>1617000530</v>
      </c>
      <c r="D438" s="278" t="s">
        <v>1761</v>
      </c>
      <c r="E438" s="183"/>
      <c r="F438" s="157">
        <v>75000</v>
      </c>
      <c r="G438" s="166"/>
      <c r="H438" s="157">
        <v>85028</v>
      </c>
      <c r="I438" s="166"/>
      <c r="J438" s="157">
        <v>78954.8</v>
      </c>
      <c r="K438" s="383"/>
    </row>
    <row r="439" spans="1:11" s="182" customFormat="1" x14ac:dyDescent="0.15">
      <c r="A439" s="383"/>
      <c r="B439">
        <v>1617000540</v>
      </c>
      <c r="D439" s="278" t="s">
        <v>1762</v>
      </c>
      <c r="E439" s="183"/>
      <c r="F439" s="157">
        <v>500</v>
      </c>
      <c r="G439" s="166"/>
      <c r="H439" s="157">
        <v>500</v>
      </c>
      <c r="I439" s="166"/>
      <c r="J439" s="157">
        <v>12.1</v>
      </c>
      <c r="K439" s="383"/>
    </row>
    <row r="440" spans="1:11" s="182" customFormat="1" x14ac:dyDescent="0.15">
      <c r="A440" s="383"/>
      <c r="B440">
        <v>1617000560</v>
      </c>
      <c r="D440" s="278" t="s">
        <v>1763</v>
      </c>
      <c r="E440" s="183"/>
      <c r="F440" s="157">
        <v>6000</v>
      </c>
      <c r="G440" s="166"/>
      <c r="H440" s="157">
        <v>7000</v>
      </c>
      <c r="I440" s="166"/>
      <c r="J440" s="157">
        <v>5518.35</v>
      </c>
      <c r="K440" s="383"/>
    </row>
    <row r="441" spans="1:11" s="182" customFormat="1" x14ac:dyDescent="0.15">
      <c r="A441" s="383"/>
      <c r="B441">
        <v>1617000561</v>
      </c>
      <c r="D441" s="278" t="s">
        <v>1764</v>
      </c>
      <c r="E441" s="183"/>
      <c r="F441" s="157">
        <v>2040</v>
      </c>
      <c r="G441" s="166"/>
      <c r="H441" s="157">
        <v>2040</v>
      </c>
      <c r="I441" s="166"/>
      <c r="J441" s="157">
        <v>1819.51</v>
      </c>
      <c r="K441" s="383"/>
    </row>
    <row r="442" spans="1:11" s="182" customFormat="1" x14ac:dyDescent="0.15">
      <c r="A442" s="383"/>
      <c r="B442">
        <v>1617000570</v>
      </c>
      <c r="D442" s="278" t="s">
        <v>1765</v>
      </c>
      <c r="E442" s="183"/>
      <c r="F442" s="157">
        <v>18740</v>
      </c>
      <c r="G442" s="166"/>
      <c r="H442" s="157">
        <v>17965</v>
      </c>
      <c r="I442" s="166"/>
      <c r="J442" s="157">
        <v>8663.99</v>
      </c>
      <c r="K442" s="383"/>
    </row>
    <row r="443" spans="1:11" x14ac:dyDescent="0.15">
      <c r="A443" s="383"/>
      <c r="B443">
        <v>1617000581</v>
      </c>
      <c r="D443" s="278" t="s">
        <v>1766</v>
      </c>
      <c r="F443" s="157">
        <v>75000</v>
      </c>
      <c r="H443" s="157">
        <v>280000</v>
      </c>
      <c r="J443" s="157">
        <v>136722</v>
      </c>
      <c r="K443" s="383"/>
    </row>
    <row r="444" spans="1:11" x14ac:dyDescent="0.15">
      <c r="A444" s="383"/>
      <c r="B444">
        <v>1617000750</v>
      </c>
      <c r="D444" s="278" t="s">
        <v>1767</v>
      </c>
      <c r="F444" s="157">
        <v>650000</v>
      </c>
      <c r="H444" s="157">
        <v>797000</v>
      </c>
      <c r="J444" s="157">
        <v>616557.31999999995</v>
      </c>
      <c r="K444" s="383"/>
    </row>
    <row r="445" spans="1:11" x14ac:dyDescent="0.15">
      <c r="A445" s="383"/>
      <c r="B445">
        <v>1617000760</v>
      </c>
      <c r="D445" s="278" t="s">
        <v>552</v>
      </c>
      <c r="F445" s="157">
        <v>30000</v>
      </c>
      <c r="H445" s="157">
        <v>20867</v>
      </c>
      <c r="J445" s="157">
        <v>24252.54</v>
      </c>
      <c r="K445" s="383"/>
    </row>
    <row r="446" spans="1:11" x14ac:dyDescent="0.15">
      <c r="A446" s="383"/>
      <c r="B446">
        <v>1617000930</v>
      </c>
      <c r="D446" s="278" t="s">
        <v>1768</v>
      </c>
      <c r="F446" s="157">
        <v>10000</v>
      </c>
      <c r="H446" s="157">
        <v>14200</v>
      </c>
      <c r="J446" s="157">
        <v>11597.65</v>
      </c>
      <c r="K446" s="383"/>
    </row>
    <row r="447" spans="1:11" x14ac:dyDescent="0.15">
      <c r="A447" s="383"/>
      <c r="B447">
        <v>1617000980</v>
      </c>
      <c r="D447" s="278" t="s">
        <v>1769</v>
      </c>
      <c r="F447" s="157">
        <v>5000</v>
      </c>
      <c r="H447" s="157">
        <v>5000</v>
      </c>
      <c r="J447" s="157">
        <v>8961.4500000000007</v>
      </c>
      <c r="K447" s="383"/>
    </row>
    <row r="448" spans="1:11" s="182" customFormat="1" x14ac:dyDescent="0.15">
      <c r="A448" s="383"/>
      <c r="B448">
        <v>1619000110</v>
      </c>
      <c r="D448" s="278" t="s">
        <v>23</v>
      </c>
      <c r="E448" s="183"/>
      <c r="F448" s="157">
        <v>0</v>
      </c>
      <c r="G448" s="166"/>
      <c r="H448" s="157">
        <v>0</v>
      </c>
      <c r="I448" s="166"/>
      <c r="J448" s="157">
        <v>0</v>
      </c>
      <c r="K448" s="383"/>
    </row>
    <row r="449" spans="1:11" x14ac:dyDescent="0.15">
      <c r="A449" s="383"/>
      <c r="B449">
        <v>1619000780</v>
      </c>
      <c r="D449" s="278" t="s">
        <v>1153</v>
      </c>
      <c r="F449" s="157">
        <v>0</v>
      </c>
      <c r="H449" s="157">
        <v>520000</v>
      </c>
      <c r="J449" s="157">
        <v>0</v>
      </c>
      <c r="K449" s="383"/>
    </row>
    <row r="450" spans="1:11" ht="14" thickBot="1" x14ac:dyDescent="0.2">
      <c r="A450" s="383"/>
      <c r="D450" s="282"/>
      <c r="F450" s="158"/>
      <c r="H450" s="158"/>
      <c r="J450" s="158"/>
      <c r="K450" s="383"/>
    </row>
    <row r="451" spans="1:11" x14ac:dyDescent="0.15">
      <c r="A451" s="383"/>
      <c r="D451" s="283" t="s">
        <v>1219</v>
      </c>
      <c r="F451" s="169">
        <v>14139774.4</v>
      </c>
      <c r="G451" s="169">
        <v>0</v>
      </c>
      <c r="H451" s="169">
        <v>16129083.6</v>
      </c>
      <c r="I451" s="169">
        <v>0</v>
      </c>
      <c r="J451" s="169">
        <v>14263323.610000003</v>
      </c>
      <c r="K451" s="383"/>
    </row>
    <row r="452" spans="1:11" x14ac:dyDescent="0.15">
      <c r="A452" s="383"/>
      <c r="B452">
        <v>1621100110</v>
      </c>
      <c r="D452" s="278" t="s">
        <v>518</v>
      </c>
      <c r="F452" s="157">
        <v>1018276</v>
      </c>
      <c r="H452" s="157">
        <v>973440</v>
      </c>
      <c r="J452" s="157">
        <v>925381.37</v>
      </c>
      <c r="K452" s="383"/>
    </row>
    <row r="453" spans="1:11" x14ac:dyDescent="0.15">
      <c r="A453" s="383"/>
      <c r="B453">
        <v>1621100440</v>
      </c>
      <c r="D453" s="278" t="s">
        <v>610</v>
      </c>
      <c r="F453" s="157">
        <v>3900</v>
      </c>
      <c r="H453" s="157">
        <v>8577.2000000000007</v>
      </c>
      <c r="J453" s="157">
        <v>9749.1</v>
      </c>
      <c r="K453" s="383"/>
    </row>
    <row r="454" spans="1:11" x14ac:dyDescent="0.15">
      <c r="A454" s="383"/>
      <c r="B454">
        <v>1621100470</v>
      </c>
      <c r="D454" s="278" t="s">
        <v>611</v>
      </c>
      <c r="F454" s="157">
        <v>0</v>
      </c>
      <c r="H454" s="157">
        <v>0</v>
      </c>
      <c r="J454" s="157">
        <v>1233.0999999999999</v>
      </c>
      <c r="K454" s="383"/>
    </row>
    <row r="455" spans="1:11" x14ac:dyDescent="0.15">
      <c r="A455" s="383"/>
      <c r="B455">
        <v>1621100511</v>
      </c>
      <c r="D455" s="278" t="s">
        <v>612</v>
      </c>
      <c r="F455" s="157">
        <v>3726.4</v>
      </c>
      <c r="H455" s="157">
        <v>4500</v>
      </c>
      <c r="J455" s="157">
        <v>3555.89</v>
      </c>
      <c r="K455" s="383"/>
    </row>
    <row r="456" spans="1:11" s="182" customFormat="1" x14ac:dyDescent="0.15">
      <c r="A456" s="383"/>
      <c r="B456">
        <v>1621100512</v>
      </c>
      <c r="D456" s="278" t="s">
        <v>613</v>
      </c>
      <c r="E456" s="183"/>
      <c r="F456" s="157">
        <v>800</v>
      </c>
      <c r="G456" s="166"/>
      <c r="H456" s="157">
        <v>600</v>
      </c>
      <c r="I456" s="166"/>
      <c r="J456" s="157">
        <v>0</v>
      </c>
      <c r="K456" s="383"/>
    </row>
    <row r="457" spans="1:11" x14ac:dyDescent="0.15">
      <c r="A457" s="383"/>
      <c r="B457">
        <v>1621100521</v>
      </c>
      <c r="D457" s="278" t="s">
        <v>614</v>
      </c>
      <c r="F457" s="157">
        <v>8000</v>
      </c>
      <c r="H457" s="157">
        <v>8000</v>
      </c>
      <c r="J457" s="157">
        <v>520</v>
      </c>
      <c r="K457" s="383"/>
    </row>
    <row r="458" spans="1:11" x14ac:dyDescent="0.15">
      <c r="A458" s="383"/>
      <c r="B458">
        <v>1621100522</v>
      </c>
      <c r="D458" s="278" t="s">
        <v>615</v>
      </c>
      <c r="F458" s="157">
        <v>5300</v>
      </c>
      <c r="H458" s="157">
        <v>5300</v>
      </c>
      <c r="J458" s="157">
        <v>3208.03</v>
      </c>
      <c r="K458" s="383"/>
    </row>
    <row r="459" spans="1:11" x14ac:dyDescent="0.15">
      <c r="A459" s="383"/>
      <c r="B459">
        <v>1621100523</v>
      </c>
      <c r="D459" s="278" t="s">
        <v>616</v>
      </c>
      <c r="F459" s="157">
        <v>1600</v>
      </c>
      <c r="H459" s="157">
        <v>1600</v>
      </c>
      <c r="J459" s="157">
        <v>1500</v>
      </c>
      <c r="K459" s="383"/>
    </row>
    <row r="460" spans="1:11" x14ac:dyDescent="0.15">
      <c r="A460" s="383"/>
      <c r="B460">
        <v>1621100530</v>
      </c>
      <c r="D460" s="278" t="s">
        <v>1770</v>
      </c>
      <c r="F460" s="157">
        <v>75000</v>
      </c>
      <c r="H460" s="157">
        <v>94284</v>
      </c>
      <c r="J460" s="157">
        <v>76323.789999999994</v>
      </c>
      <c r="K460" s="383"/>
    </row>
    <row r="461" spans="1:11" x14ac:dyDescent="0.15">
      <c r="A461" s="383"/>
      <c r="B461">
        <v>1621100560</v>
      </c>
      <c r="D461" s="278" t="s">
        <v>618</v>
      </c>
      <c r="F461" s="157">
        <v>4500</v>
      </c>
      <c r="H461" s="157">
        <v>4500</v>
      </c>
      <c r="J461" s="157">
        <v>3504.65</v>
      </c>
      <c r="K461" s="383"/>
    </row>
    <row r="462" spans="1:11" s="182" customFormat="1" x14ac:dyDescent="0.15">
      <c r="A462" s="383"/>
      <c r="B462">
        <v>1621100580</v>
      </c>
      <c r="D462" s="278" t="s">
        <v>1220</v>
      </c>
      <c r="E462" s="183"/>
      <c r="F462" s="157">
        <v>0</v>
      </c>
      <c r="G462" s="166"/>
      <c r="H462" s="157">
        <v>0</v>
      </c>
      <c r="I462" s="166"/>
      <c r="J462" s="157">
        <v>136</v>
      </c>
      <c r="K462" s="383"/>
    </row>
    <row r="463" spans="1:11" s="182" customFormat="1" x14ac:dyDescent="0.15">
      <c r="A463" s="383"/>
      <c r="B463">
        <v>1621100581</v>
      </c>
      <c r="D463" s="278" t="s">
        <v>1771</v>
      </c>
      <c r="E463" s="183"/>
      <c r="F463" s="157">
        <v>1320</v>
      </c>
      <c r="G463" s="166"/>
      <c r="H463" s="157">
        <v>1320</v>
      </c>
      <c r="I463" s="166"/>
      <c r="J463" s="157">
        <v>1239.58</v>
      </c>
      <c r="K463" s="383"/>
    </row>
    <row r="464" spans="1:11" x14ac:dyDescent="0.15">
      <c r="A464" s="383"/>
      <c r="B464">
        <v>1621100760</v>
      </c>
      <c r="D464" s="278" t="s">
        <v>552</v>
      </c>
      <c r="F464" s="157">
        <v>0</v>
      </c>
      <c r="H464" s="157">
        <v>0</v>
      </c>
      <c r="J464" s="157">
        <v>0</v>
      </c>
      <c r="K464" s="383"/>
    </row>
    <row r="465" spans="1:11" x14ac:dyDescent="0.15">
      <c r="A465" s="383"/>
      <c r="B465">
        <v>1621100930</v>
      </c>
      <c r="D465" s="278" t="s">
        <v>620</v>
      </c>
      <c r="F465" s="157">
        <v>8000</v>
      </c>
      <c r="H465" s="157">
        <v>10500</v>
      </c>
      <c r="J465" s="157">
        <v>0</v>
      </c>
      <c r="K465" s="383"/>
    </row>
    <row r="466" spans="1:11" x14ac:dyDescent="0.15">
      <c r="A466" s="383"/>
      <c r="B466">
        <v>1621100980</v>
      </c>
      <c r="D466" s="278" t="s">
        <v>621</v>
      </c>
      <c r="F466" s="157">
        <v>61000</v>
      </c>
      <c r="H466" s="157">
        <v>70900</v>
      </c>
      <c r="J466" s="157">
        <v>172402.14</v>
      </c>
      <c r="K466" s="383"/>
    </row>
    <row r="467" spans="1:11" x14ac:dyDescent="0.15">
      <c r="A467" s="383"/>
      <c r="B467">
        <v>1621300560</v>
      </c>
      <c r="D467" s="278" t="s">
        <v>1772</v>
      </c>
      <c r="F467" s="157">
        <v>4000</v>
      </c>
      <c r="H467" s="157">
        <v>4000</v>
      </c>
      <c r="J467" s="157">
        <v>2569.1999999999998</v>
      </c>
      <c r="K467" s="383"/>
    </row>
    <row r="468" spans="1:11" x14ac:dyDescent="0.15">
      <c r="A468" s="383"/>
      <c r="B468">
        <v>1621300570</v>
      </c>
      <c r="D468" s="278" t="s">
        <v>1773</v>
      </c>
      <c r="F468" s="157">
        <v>162000</v>
      </c>
      <c r="H468" s="157">
        <v>164362.32</v>
      </c>
      <c r="J468" s="157">
        <v>155049.13</v>
      </c>
      <c r="K468" s="383"/>
    </row>
    <row r="469" spans="1:11" s="182" customFormat="1" x14ac:dyDescent="0.15">
      <c r="A469" s="383"/>
      <c r="B469">
        <v>1621300571</v>
      </c>
      <c r="D469" s="278" t="s">
        <v>2034</v>
      </c>
      <c r="E469" s="183"/>
      <c r="F469" s="157">
        <v>8100</v>
      </c>
      <c r="G469" s="166"/>
      <c r="H469" s="157">
        <v>8040</v>
      </c>
      <c r="I469" s="166"/>
      <c r="J469" s="157">
        <v>7975</v>
      </c>
      <c r="K469" s="383"/>
    </row>
    <row r="470" spans="1:11" s="182" customFormat="1" x14ac:dyDescent="0.15">
      <c r="A470" s="383"/>
      <c r="B470">
        <v>1621300581</v>
      </c>
      <c r="D470" s="278" t="s">
        <v>1774</v>
      </c>
      <c r="E470" s="183"/>
      <c r="F470" s="157">
        <v>3480</v>
      </c>
      <c r="G470" s="166"/>
      <c r="H470" s="157">
        <v>3480</v>
      </c>
      <c r="I470" s="166"/>
      <c r="J470" s="157">
        <v>3119.17</v>
      </c>
      <c r="K470" s="383"/>
    </row>
    <row r="471" spans="1:11" x14ac:dyDescent="0.15">
      <c r="A471" s="383"/>
      <c r="B471">
        <v>1621300750</v>
      </c>
      <c r="D471" s="278" t="s">
        <v>1775</v>
      </c>
      <c r="F471" s="157">
        <v>1824000</v>
      </c>
      <c r="H471" s="157">
        <v>1800000</v>
      </c>
      <c r="J471" s="157">
        <v>1774020</v>
      </c>
      <c r="K471" s="383"/>
    </row>
    <row r="472" spans="1:11" x14ac:dyDescent="0.15">
      <c r="A472" s="383"/>
      <c r="B472">
        <v>1621300780</v>
      </c>
      <c r="D472" s="278" t="s">
        <v>1776</v>
      </c>
      <c r="F472" s="157">
        <v>3000</v>
      </c>
      <c r="H472" s="157">
        <v>3000</v>
      </c>
      <c r="J472" s="157">
        <v>3318.8</v>
      </c>
      <c r="K472" s="383"/>
    </row>
    <row r="473" spans="1:11" x14ac:dyDescent="0.15">
      <c r="A473" s="383"/>
      <c r="B473">
        <v>1621300930</v>
      </c>
      <c r="D473" s="278" t="s">
        <v>1777</v>
      </c>
      <c r="F473" s="157">
        <v>8000</v>
      </c>
      <c r="H473" s="157">
        <v>8000</v>
      </c>
      <c r="J473" s="157">
        <v>6976.3</v>
      </c>
      <c r="K473" s="383"/>
    </row>
    <row r="474" spans="1:11" x14ac:dyDescent="0.15">
      <c r="A474" s="383"/>
      <c r="B474">
        <v>1621500110</v>
      </c>
      <c r="D474" s="278" t="s">
        <v>519</v>
      </c>
      <c r="F474" s="157">
        <v>703304</v>
      </c>
      <c r="H474" s="157">
        <v>665441</v>
      </c>
      <c r="J474" s="157">
        <v>655510.56999999995</v>
      </c>
      <c r="K474" s="383"/>
    </row>
    <row r="475" spans="1:11" x14ac:dyDescent="0.15">
      <c r="A475" s="383"/>
      <c r="B475">
        <v>1621500511</v>
      </c>
      <c r="D475" s="278" t="s">
        <v>29</v>
      </c>
      <c r="F475" s="157">
        <v>726.4</v>
      </c>
      <c r="H475" s="157">
        <v>1000</v>
      </c>
      <c r="J475" s="157">
        <v>503.2</v>
      </c>
      <c r="K475" s="383"/>
    </row>
    <row r="476" spans="1:11" x14ac:dyDescent="0.15">
      <c r="A476" s="383"/>
      <c r="B476">
        <v>1621500521</v>
      </c>
      <c r="D476" s="278" t="s">
        <v>628</v>
      </c>
      <c r="F476" s="157">
        <v>5300</v>
      </c>
      <c r="H476" s="157">
        <v>5300</v>
      </c>
      <c r="J476" s="157">
        <v>5100</v>
      </c>
      <c r="K476" s="383"/>
    </row>
    <row r="477" spans="1:11" s="182" customFormat="1" x14ac:dyDescent="0.15">
      <c r="A477" s="383"/>
      <c r="B477">
        <v>1621500523</v>
      </c>
      <c r="D477" s="278" t="s">
        <v>2035</v>
      </c>
      <c r="E477" s="183"/>
      <c r="F477" s="157">
        <v>500</v>
      </c>
      <c r="G477" s="166"/>
      <c r="H477" s="157">
        <v>500</v>
      </c>
      <c r="I477" s="166"/>
      <c r="J477" s="157">
        <v>0</v>
      </c>
      <c r="K477" s="383"/>
    </row>
    <row r="478" spans="1:11" x14ac:dyDescent="0.15">
      <c r="A478" s="383"/>
      <c r="B478">
        <v>1621500560</v>
      </c>
      <c r="D478" s="278" t="s">
        <v>630</v>
      </c>
      <c r="F478" s="157">
        <v>2100</v>
      </c>
      <c r="H478" s="157">
        <v>2200</v>
      </c>
      <c r="J478" s="157">
        <v>1643.32</v>
      </c>
      <c r="K478" s="383"/>
    </row>
    <row r="479" spans="1:11" x14ac:dyDescent="0.15">
      <c r="A479" s="383"/>
      <c r="B479">
        <v>1621500570</v>
      </c>
      <c r="D479" s="278" t="s">
        <v>631</v>
      </c>
      <c r="F479" s="157">
        <v>372000</v>
      </c>
      <c r="H479" s="157">
        <v>363257.24</v>
      </c>
      <c r="J479" s="157">
        <v>359829.68</v>
      </c>
      <c r="K479" s="383"/>
    </row>
    <row r="480" spans="1:11" s="182" customFormat="1" x14ac:dyDescent="0.15">
      <c r="A480" s="383"/>
      <c r="B480">
        <v>1621500581</v>
      </c>
      <c r="D480" s="278" t="s">
        <v>1778</v>
      </c>
      <c r="E480" s="183"/>
      <c r="F480" s="157">
        <v>3500</v>
      </c>
      <c r="G480" s="166"/>
      <c r="H480" s="157">
        <v>5400</v>
      </c>
      <c r="I480" s="166"/>
      <c r="J480" s="157">
        <v>173.17</v>
      </c>
      <c r="K480" s="383"/>
    </row>
    <row r="481" spans="1:11" x14ac:dyDescent="0.15">
      <c r="A481" s="383"/>
      <c r="B481">
        <v>1621500780</v>
      </c>
      <c r="D481" s="278" t="s">
        <v>632</v>
      </c>
      <c r="F481" s="157">
        <v>1600</v>
      </c>
      <c r="H481" s="157">
        <v>1620</v>
      </c>
      <c r="J481" s="157">
        <v>0</v>
      </c>
      <c r="K481" s="383"/>
    </row>
    <row r="482" spans="1:11" s="182" customFormat="1" x14ac:dyDescent="0.15">
      <c r="A482" s="383"/>
      <c r="B482">
        <v>1621500930</v>
      </c>
      <c r="D482" s="278" t="s">
        <v>633</v>
      </c>
      <c r="E482" s="183"/>
      <c r="F482" s="157">
        <v>2500</v>
      </c>
      <c r="G482" s="166"/>
      <c r="H482" s="157">
        <v>0</v>
      </c>
      <c r="I482" s="166"/>
      <c r="J482" s="157">
        <v>650.94000000000005</v>
      </c>
      <c r="K482" s="383"/>
    </row>
    <row r="483" spans="1:11" x14ac:dyDescent="0.15">
      <c r="A483" s="383"/>
      <c r="B483">
        <v>1623000110</v>
      </c>
      <c r="D483" s="278" t="s">
        <v>520</v>
      </c>
      <c r="F483" s="157">
        <v>1751695</v>
      </c>
      <c r="H483" s="157">
        <v>1403980</v>
      </c>
      <c r="J483" s="157">
        <v>1280951.05</v>
      </c>
      <c r="K483" s="383"/>
    </row>
    <row r="484" spans="1:11" x14ac:dyDescent="0.15">
      <c r="A484" s="383"/>
      <c r="B484">
        <v>1623000440</v>
      </c>
      <c r="D484" s="278" t="s">
        <v>634</v>
      </c>
      <c r="F484" s="157">
        <v>1462</v>
      </c>
      <c r="H484" s="157">
        <v>2358</v>
      </c>
      <c r="J484" s="157">
        <v>2684.5</v>
      </c>
      <c r="K484" s="383"/>
    </row>
    <row r="485" spans="1:11" x14ac:dyDescent="0.15">
      <c r="A485" s="383"/>
      <c r="B485">
        <v>1623000511</v>
      </c>
      <c r="D485" s="278" t="s">
        <v>1779</v>
      </c>
      <c r="F485" s="157">
        <v>1226.4000000000001</v>
      </c>
      <c r="H485" s="157">
        <v>1500</v>
      </c>
      <c r="J485" s="157">
        <v>906.18</v>
      </c>
      <c r="K485" s="383"/>
    </row>
    <row r="486" spans="1:11" x14ac:dyDescent="0.15">
      <c r="A486" s="383"/>
      <c r="B486">
        <v>1623000521</v>
      </c>
      <c r="D486" s="278" t="s">
        <v>635</v>
      </c>
      <c r="F486" s="157">
        <v>21570</v>
      </c>
      <c r="H486" s="157">
        <v>20800</v>
      </c>
      <c r="J486" s="157">
        <v>6600</v>
      </c>
      <c r="K486" s="383"/>
    </row>
    <row r="487" spans="1:11" x14ac:dyDescent="0.15">
      <c r="A487" s="383"/>
      <c r="B487">
        <v>1623000530</v>
      </c>
      <c r="D487" s="278" t="s">
        <v>636</v>
      </c>
      <c r="F487" s="157">
        <v>0</v>
      </c>
      <c r="H487" s="157">
        <v>0</v>
      </c>
      <c r="J487" s="157">
        <v>0</v>
      </c>
      <c r="K487" s="383"/>
    </row>
    <row r="488" spans="1:11" s="182" customFormat="1" x14ac:dyDescent="0.15">
      <c r="A488" s="383"/>
      <c r="B488">
        <v>1623000560</v>
      </c>
      <c r="C488"/>
      <c r="D488" s="278" t="s">
        <v>637</v>
      </c>
      <c r="E488" s="183"/>
      <c r="F488" s="157">
        <v>2000</v>
      </c>
      <c r="G488" s="166"/>
      <c r="H488" s="157">
        <v>2000</v>
      </c>
      <c r="I488" s="166"/>
      <c r="J488" s="157">
        <v>5594.57</v>
      </c>
      <c r="K488" s="383"/>
    </row>
    <row r="489" spans="1:11" s="182" customFormat="1" x14ac:dyDescent="0.15">
      <c r="A489" s="383"/>
      <c r="B489">
        <v>1623000561</v>
      </c>
      <c r="C489"/>
      <c r="D489" s="278" t="s">
        <v>31</v>
      </c>
      <c r="E489" s="183"/>
      <c r="F489" s="157">
        <v>0</v>
      </c>
      <c r="G489" s="166"/>
      <c r="H489" s="157">
        <v>0</v>
      </c>
      <c r="I489" s="166"/>
      <c r="J489" s="157">
        <v>0</v>
      </c>
      <c r="K489" s="383"/>
    </row>
    <row r="490" spans="1:11" x14ac:dyDescent="0.15">
      <c r="A490" s="383"/>
      <c r="B490">
        <v>1623000570</v>
      </c>
      <c r="D490" s="278" t="s">
        <v>638</v>
      </c>
      <c r="F490" s="157">
        <v>363360</v>
      </c>
      <c r="H490" s="157">
        <v>364263.15</v>
      </c>
      <c r="J490" s="157">
        <v>369525.96</v>
      </c>
      <c r="K490" s="383"/>
    </row>
    <row r="491" spans="1:11" x14ac:dyDescent="0.15">
      <c r="A491" s="383"/>
      <c r="B491">
        <v>1623000580</v>
      </c>
      <c r="D491" s="278" t="s">
        <v>639</v>
      </c>
      <c r="F491" s="157">
        <v>25000</v>
      </c>
      <c r="H491" s="157">
        <v>13000</v>
      </c>
      <c r="J491" s="157">
        <v>39500.44</v>
      </c>
      <c r="K491" s="383"/>
    </row>
    <row r="492" spans="1:11" x14ac:dyDescent="0.15">
      <c r="A492" s="383"/>
      <c r="B492">
        <v>1623000720</v>
      </c>
      <c r="D492" s="278" t="s">
        <v>1780</v>
      </c>
      <c r="F492" s="157">
        <v>0</v>
      </c>
      <c r="H492" s="157">
        <v>0</v>
      </c>
      <c r="J492" s="157">
        <v>0</v>
      </c>
      <c r="K492" s="383"/>
    </row>
    <row r="493" spans="1:11" s="182" customFormat="1" x14ac:dyDescent="0.15">
      <c r="A493" s="383"/>
      <c r="B493">
        <v>1623000750</v>
      </c>
      <c r="D493" s="278" t="s">
        <v>640</v>
      </c>
      <c r="E493" s="183"/>
      <c r="F493" s="157">
        <v>5026074</v>
      </c>
      <c r="G493" s="166"/>
      <c r="H493" s="157">
        <v>4102651</v>
      </c>
      <c r="I493" s="166"/>
      <c r="J493" s="157">
        <v>4546410.1900000004</v>
      </c>
      <c r="K493" s="383"/>
    </row>
    <row r="494" spans="1:11" s="182" customFormat="1" x14ac:dyDescent="0.15">
      <c r="A494" s="383"/>
      <c r="B494">
        <v>1623000751</v>
      </c>
      <c r="D494" s="278" t="s">
        <v>641</v>
      </c>
      <c r="E494" s="183"/>
      <c r="F494" s="157">
        <v>0</v>
      </c>
      <c r="G494" s="166"/>
      <c r="H494" s="157">
        <v>0</v>
      </c>
      <c r="I494" s="166"/>
      <c r="J494" s="157">
        <v>0</v>
      </c>
      <c r="K494" s="383"/>
    </row>
    <row r="495" spans="1:11" s="182" customFormat="1" x14ac:dyDescent="0.15">
      <c r="A495" s="383"/>
      <c r="B495">
        <v>1623000753</v>
      </c>
      <c r="D495" s="278" t="s">
        <v>32</v>
      </c>
      <c r="E495" s="183"/>
      <c r="F495" s="157">
        <v>1000000</v>
      </c>
      <c r="G495" s="166"/>
      <c r="H495" s="157">
        <v>1536000</v>
      </c>
      <c r="I495" s="166"/>
      <c r="J495" s="157">
        <v>1166943.3400000001</v>
      </c>
      <c r="K495" s="383"/>
    </row>
    <row r="496" spans="1:11" s="182" customFormat="1" x14ac:dyDescent="0.15">
      <c r="A496" s="383"/>
      <c r="B496">
        <v>1623000780</v>
      </c>
      <c r="D496" s="278" t="s">
        <v>642</v>
      </c>
      <c r="E496" s="183"/>
      <c r="F496" s="157">
        <v>150318</v>
      </c>
      <c r="G496" s="166"/>
      <c r="H496" s="157">
        <v>131000</v>
      </c>
      <c r="I496" s="166"/>
      <c r="J496" s="157">
        <v>142445.85</v>
      </c>
      <c r="K496" s="383"/>
    </row>
    <row r="497" spans="1:11" s="182" customFormat="1" x14ac:dyDescent="0.15">
      <c r="A497" s="383"/>
      <c r="B497">
        <v>1623000930</v>
      </c>
      <c r="D497" s="278" t="s">
        <v>643</v>
      </c>
      <c r="E497" s="183"/>
      <c r="F497" s="157">
        <v>7000</v>
      </c>
      <c r="G497" s="166"/>
      <c r="H497" s="157">
        <v>7000</v>
      </c>
      <c r="I497" s="166"/>
      <c r="J497" s="157">
        <v>8502</v>
      </c>
      <c r="K497" s="383"/>
    </row>
    <row r="498" spans="1:11" s="182" customFormat="1" x14ac:dyDescent="0.15">
      <c r="A498" s="383"/>
      <c r="B498">
        <v>1623000980</v>
      </c>
      <c r="D498" s="278" t="s">
        <v>1781</v>
      </c>
      <c r="E498" s="183"/>
      <c r="F498" s="157">
        <v>0</v>
      </c>
      <c r="G498" s="166"/>
      <c r="H498" s="157">
        <v>0</v>
      </c>
      <c r="I498" s="166"/>
      <c r="J498" s="157">
        <v>17317.349999999999</v>
      </c>
      <c r="K498" s="383"/>
    </row>
    <row r="499" spans="1:11" x14ac:dyDescent="0.15">
      <c r="A499" s="383"/>
      <c r="B499">
        <v>1623100530</v>
      </c>
      <c r="D499" s="278" t="s">
        <v>1601</v>
      </c>
      <c r="F499" s="157">
        <v>0</v>
      </c>
      <c r="H499" s="157">
        <v>0</v>
      </c>
      <c r="J499" s="157">
        <v>50447.68</v>
      </c>
      <c r="K499" s="383"/>
    </row>
    <row r="500" spans="1:11" x14ac:dyDescent="0.15">
      <c r="A500" s="383"/>
      <c r="B500">
        <v>1623100731</v>
      </c>
      <c r="D500" s="278" t="s">
        <v>1782</v>
      </c>
      <c r="F500" s="157">
        <v>9500</v>
      </c>
      <c r="H500" s="157">
        <v>11860</v>
      </c>
      <c r="J500" s="157">
        <v>7287.66</v>
      </c>
      <c r="K500" s="383"/>
    </row>
    <row r="501" spans="1:11" x14ac:dyDescent="0.15">
      <c r="A501" s="383"/>
      <c r="B501">
        <v>1624000110</v>
      </c>
      <c r="D501" s="278" t="s">
        <v>1603</v>
      </c>
      <c r="F501" s="157">
        <v>301600</v>
      </c>
      <c r="H501" s="157">
        <v>324008</v>
      </c>
      <c r="J501" s="157">
        <v>181456.44</v>
      </c>
      <c r="K501" s="383"/>
    </row>
    <row r="502" spans="1:11" x14ac:dyDescent="0.15">
      <c r="A502" s="383"/>
      <c r="B502">
        <v>1624000511</v>
      </c>
      <c r="D502" s="278" t="s">
        <v>1783</v>
      </c>
      <c r="F502" s="157">
        <v>21199.200000000001</v>
      </c>
      <c r="H502" s="157">
        <v>1200</v>
      </c>
      <c r="I502" s="165"/>
      <c r="J502" s="157">
        <v>444.01</v>
      </c>
      <c r="K502" s="383"/>
    </row>
    <row r="503" spans="1:11" s="182" customFormat="1" x14ac:dyDescent="0.15">
      <c r="A503" s="383"/>
      <c r="B503">
        <v>1624000560</v>
      </c>
      <c r="D503" s="278" t="s">
        <v>1784</v>
      </c>
      <c r="E503" s="183"/>
      <c r="F503" s="157">
        <v>1900</v>
      </c>
      <c r="G503" s="166"/>
      <c r="H503" s="157">
        <v>1910</v>
      </c>
      <c r="I503" s="165"/>
      <c r="J503" s="157">
        <v>814.42</v>
      </c>
      <c r="K503" s="383"/>
    </row>
    <row r="504" spans="1:11" s="182" customFormat="1" x14ac:dyDescent="0.15">
      <c r="A504" s="383"/>
      <c r="B504">
        <v>1624000780</v>
      </c>
      <c r="D504" s="278" t="s">
        <v>1785</v>
      </c>
      <c r="E504" s="183"/>
      <c r="F504" s="157">
        <v>33100</v>
      </c>
      <c r="G504" s="166"/>
      <c r="H504" s="157">
        <v>16190</v>
      </c>
      <c r="I504" s="165"/>
      <c r="J504" s="157">
        <v>13851.2</v>
      </c>
      <c r="K504" s="383"/>
    </row>
    <row r="505" spans="1:11" s="182" customFormat="1" x14ac:dyDescent="0.15">
      <c r="A505" s="383"/>
      <c r="B505">
        <v>1624000930</v>
      </c>
      <c r="D505" s="278" t="s">
        <v>1604</v>
      </c>
      <c r="E505" s="183"/>
      <c r="F505" s="157">
        <v>4000</v>
      </c>
      <c r="G505" s="166"/>
      <c r="H505" s="157">
        <v>3500</v>
      </c>
      <c r="I505" s="165"/>
      <c r="J505" s="157">
        <v>346.22</v>
      </c>
      <c r="K505" s="383"/>
    </row>
    <row r="506" spans="1:11" s="182" customFormat="1" ht="14" thickBot="1" x14ac:dyDescent="0.2">
      <c r="A506" s="383"/>
      <c r="B506"/>
      <c r="D506" s="282"/>
      <c r="E506" s="183"/>
      <c r="F506" s="158"/>
      <c r="G506" s="166"/>
      <c r="H506" s="158"/>
      <c r="I506" s="165"/>
      <c r="J506" s="158"/>
      <c r="K506" s="383"/>
    </row>
    <row r="507" spans="1:11" x14ac:dyDescent="0.15">
      <c r="A507" s="383"/>
      <c r="D507" s="283" t="s">
        <v>1224</v>
      </c>
      <c r="F507" s="178">
        <v>13016537.399999999</v>
      </c>
      <c r="G507" s="169">
        <v>0</v>
      </c>
      <c r="H507" s="178">
        <v>12162341.91</v>
      </c>
      <c r="I507" s="169">
        <v>0</v>
      </c>
      <c r="J507" s="178">
        <v>12017221.189999998</v>
      </c>
      <c r="K507" s="383"/>
    </row>
    <row r="508" spans="1:11" x14ac:dyDescent="0.15">
      <c r="A508" s="383"/>
      <c r="B508">
        <v>1631000610</v>
      </c>
      <c r="D508" s="278" t="s">
        <v>1069</v>
      </c>
      <c r="F508" s="157">
        <v>710000</v>
      </c>
      <c r="H508" s="157">
        <v>700000</v>
      </c>
      <c r="J508" s="157">
        <v>720001.09</v>
      </c>
      <c r="K508" s="383"/>
    </row>
    <row r="509" spans="1:11" x14ac:dyDescent="0.15">
      <c r="A509" s="383"/>
      <c r="B509">
        <v>1631100610</v>
      </c>
      <c r="D509" s="278" t="s">
        <v>1070</v>
      </c>
      <c r="F509" s="157">
        <v>168000</v>
      </c>
      <c r="H509" s="157">
        <v>326666.67</v>
      </c>
      <c r="J509" s="157">
        <v>360652.02</v>
      </c>
      <c r="K509" s="383"/>
    </row>
    <row r="510" spans="1:11" x14ac:dyDescent="0.15">
      <c r="A510" s="383"/>
      <c r="B510">
        <v>1632000620</v>
      </c>
      <c r="D510" s="278" t="s">
        <v>1071</v>
      </c>
      <c r="F510" s="157">
        <v>150000</v>
      </c>
      <c r="H510" s="157">
        <v>250000</v>
      </c>
      <c r="J510" s="157">
        <v>94057.77</v>
      </c>
      <c r="K510" s="383"/>
    </row>
    <row r="511" spans="1:11" ht="14" thickBot="1" x14ac:dyDescent="0.2">
      <c r="A511" s="383"/>
      <c r="B511">
        <v>1632000623</v>
      </c>
      <c r="D511" s="279" t="s">
        <v>1072</v>
      </c>
      <c r="F511" s="158">
        <v>1000000</v>
      </c>
      <c r="H511" s="158">
        <v>850000</v>
      </c>
      <c r="J511" s="158">
        <v>940817.49</v>
      </c>
      <c r="K511" s="383"/>
    </row>
    <row r="512" spans="1:11" x14ac:dyDescent="0.15">
      <c r="A512" s="383"/>
      <c r="D512" s="283" t="s">
        <v>1225</v>
      </c>
      <c r="F512" s="178">
        <v>2028000</v>
      </c>
      <c r="G512" s="169">
        <v>0</v>
      </c>
      <c r="H512" s="178">
        <v>2126666.67</v>
      </c>
      <c r="I512" s="169">
        <v>0</v>
      </c>
      <c r="J512" s="178">
        <v>2115528.37</v>
      </c>
      <c r="K512" s="383"/>
    </row>
    <row r="513" spans="1:11" x14ac:dyDescent="0.15">
      <c r="A513" s="383"/>
      <c r="B513">
        <v>1649000691</v>
      </c>
      <c r="D513" s="278" t="s">
        <v>1226</v>
      </c>
      <c r="F513" s="157">
        <v>0</v>
      </c>
      <c r="H513" s="157">
        <v>0</v>
      </c>
      <c r="J513" s="157">
        <v>0</v>
      </c>
      <c r="K513" s="383"/>
    </row>
    <row r="514" spans="1:11" x14ac:dyDescent="0.15">
      <c r="A514" s="383"/>
      <c r="B514">
        <v>1649000692</v>
      </c>
      <c r="D514" s="278" t="s">
        <v>34</v>
      </c>
      <c r="F514" s="157">
        <v>0</v>
      </c>
      <c r="H514" s="157">
        <v>0</v>
      </c>
      <c r="J514" s="157">
        <v>0</v>
      </c>
      <c r="K514" s="383"/>
    </row>
    <row r="515" spans="1:11" x14ac:dyDescent="0.15">
      <c r="A515" s="383"/>
      <c r="B515">
        <v>1649000693</v>
      </c>
      <c r="D515" s="278" t="s">
        <v>35</v>
      </c>
      <c r="F515" s="157">
        <v>0</v>
      </c>
      <c r="H515" s="157">
        <v>0</v>
      </c>
      <c r="J515" s="157">
        <v>0</v>
      </c>
      <c r="K515" s="383"/>
    </row>
    <row r="516" spans="1:11" x14ac:dyDescent="0.15">
      <c r="A516" s="383"/>
      <c r="B516">
        <v>1649000694</v>
      </c>
      <c r="D516" s="278" t="s">
        <v>1064</v>
      </c>
      <c r="F516" s="157">
        <v>1768250</v>
      </c>
      <c r="H516" s="157">
        <v>1782155.42</v>
      </c>
      <c r="J516" s="157">
        <v>1818942.97</v>
      </c>
      <c r="K516" s="383"/>
    </row>
    <row r="517" spans="1:11" x14ac:dyDescent="0.15">
      <c r="A517" s="383"/>
      <c r="B517">
        <v>1649000695</v>
      </c>
      <c r="D517" s="278" t="s">
        <v>1065</v>
      </c>
      <c r="F517" s="157">
        <v>184480</v>
      </c>
      <c r="H517" s="157">
        <v>214410.41</v>
      </c>
      <c r="J517" s="157">
        <v>266906.55</v>
      </c>
      <c r="K517" s="383"/>
    </row>
    <row r="518" spans="1:11" x14ac:dyDescent="0.15">
      <c r="A518" s="383"/>
      <c r="B518">
        <v>1649000696</v>
      </c>
      <c r="D518" s="278" t="s">
        <v>1066</v>
      </c>
      <c r="F518" s="157">
        <v>17017</v>
      </c>
      <c r="H518" s="157">
        <v>21976.48</v>
      </c>
      <c r="J518" s="157">
        <v>40441.519999999997</v>
      </c>
      <c r="K518" s="383"/>
    </row>
    <row r="519" spans="1:11" x14ac:dyDescent="0.15">
      <c r="A519" s="383"/>
      <c r="B519">
        <v>1649100691</v>
      </c>
      <c r="D519" s="278" t="s">
        <v>1059</v>
      </c>
      <c r="F519" s="157">
        <v>9900630</v>
      </c>
      <c r="H519" s="157">
        <v>7786122.0700000003</v>
      </c>
      <c r="J519" s="157">
        <v>6789461.9900000002</v>
      </c>
      <c r="K519" s="383"/>
    </row>
    <row r="520" spans="1:11" x14ac:dyDescent="0.15">
      <c r="A520" s="383"/>
      <c r="B520">
        <v>1649100692</v>
      </c>
      <c r="D520" s="278" t="s">
        <v>1060</v>
      </c>
      <c r="F520" s="157">
        <v>1342452</v>
      </c>
      <c r="H520" s="157">
        <v>1283930.3400000001</v>
      </c>
      <c r="J520" s="157">
        <v>1578885.55</v>
      </c>
      <c r="K520" s="383"/>
    </row>
    <row r="521" spans="1:11" ht="14" thickBot="1" x14ac:dyDescent="0.2">
      <c r="A521" s="383"/>
      <c r="B521">
        <v>1649100693</v>
      </c>
      <c r="D521" s="279" t="s">
        <v>1061</v>
      </c>
      <c r="F521" s="158">
        <v>389600</v>
      </c>
      <c r="H521" s="158">
        <v>420024.74</v>
      </c>
      <c r="J521" s="158">
        <v>458624.79</v>
      </c>
      <c r="K521" s="383"/>
    </row>
    <row r="522" spans="1:11" ht="14" thickBot="1" x14ac:dyDescent="0.2">
      <c r="A522" s="383"/>
      <c r="D522" s="280" t="s">
        <v>1227</v>
      </c>
      <c r="F522" s="162">
        <v>13602429</v>
      </c>
      <c r="G522" s="169">
        <v>0</v>
      </c>
      <c r="H522" s="162">
        <v>11508619.460000001</v>
      </c>
      <c r="I522" s="169">
        <v>0</v>
      </c>
      <c r="J522" s="162">
        <v>10953263.370000001</v>
      </c>
      <c r="K522" s="383"/>
    </row>
    <row r="523" spans="1:11" ht="14" thickBot="1" x14ac:dyDescent="0.2">
      <c r="A523" s="383"/>
      <c r="D523" s="280" t="s">
        <v>1228</v>
      </c>
      <c r="F523" s="162">
        <v>42786740.799999997</v>
      </c>
      <c r="G523" s="169">
        <v>0</v>
      </c>
      <c r="H523" s="162">
        <v>41926711.640000001</v>
      </c>
      <c r="I523" s="169">
        <v>0</v>
      </c>
      <c r="J523" s="162">
        <v>39349336.540000007</v>
      </c>
      <c r="K523" s="383"/>
    </row>
    <row r="524" spans="1:11" x14ac:dyDescent="0.15">
      <c r="A524" s="383"/>
      <c r="B524">
        <v>1711000110</v>
      </c>
      <c r="D524" s="278" t="s">
        <v>521</v>
      </c>
      <c r="F524" s="157">
        <v>1995577</v>
      </c>
      <c r="H524" s="157">
        <v>1875623</v>
      </c>
      <c r="J524" s="157">
        <v>1802621.89</v>
      </c>
      <c r="K524" s="383"/>
    </row>
    <row r="525" spans="1:11" x14ac:dyDescent="0.15">
      <c r="A525" s="383"/>
      <c r="B525">
        <v>1711000210</v>
      </c>
      <c r="D525" s="278" t="s">
        <v>1786</v>
      </c>
      <c r="F525" s="157">
        <v>88000</v>
      </c>
      <c r="H525" s="157">
        <v>95000</v>
      </c>
      <c r="J525" s="157">
        <v>42257.56</v>
      </c>
      <c r="K525" s="383"/>
    </row>
    <row r="526" spans="1:11" x14ac:dyDescent="0.15">
      <c r="A526" s="383"/>
      <c r="B526">
        <v>1711000511</v>
      </c>
      <c r="D526" s="278" t="s">
        <v>644</v>
      </c>
      <c r="F526" s="157">
        <v>3179.2</v>
      </c>
      <c r="H526" s="157">
        <v>4000</v>
      </c>
      <c r="J526" s="157">
        <v>2642.86</v>
      </c>
      <c r="K526" s="383"/>
    </row>
    <row r="527" spans="1:11" s="182" customFormat="1" x14ac:dyDescent="0.15">
      <c r="A527" s="383"/>
      <c r="B527">
        <v>1711000512</v>
      </c>
      <c r="D527" s="278" t="s">
        <v>645</v>
      </c>
      <c r="E527" s="183"/>
      <c r="F527" s="157">
        <v>0</v>
      </c>
      <c r="G527" s="166"/>
      <c r="H527" s="157">
        <v>100</v>
      </c>
      <c r="I527" s="166"/>
      <c r="J527" s="157">
        <v>0</v>
      </c>
      <c r="K527" s="383"/>
    </row>
    <row r="528" spans="1:11" s="182" customFormat="1" x14ac:dyDescent="0.15">
      <c r="A528" s="383"/>
      <c r="B528">
        <v>1711000521</v>
      </c>
      <c r="D528" s="278" t="s">
        <v>646</v>
      </c>
      <c r="E528" s="183"/>
      <c r="F528" s="157">
        <v>100000</v>
      </c>
      <c r="G528" s="166"/>
      <c r="H528" s="157">
        <v>73200</v>
      </c>
      <c r="I528" s="166"/>
      <c r="J528" s="157">
        <v>32189</v>
      </c>
      <c r="K528" s="383"/>
    </row>
    <row r="529" spans="1:11" x14ac:dyDescent="0.15">
      <c r="A529" s="383"/>
      <c r="B529">
        <v>1711000560</v>
      </c>
      <c r="D529" s="278" t="s">
        <v>647</v>
      </c>
      <c r="F529" s="157">
        <v>6000</v>
      </c>
      <c r="H529" s="157">
        <v>4500</v>
      </c>
      <c r="J529" s="157">
        <v>3748.46</v>
      </c>
      <c r="K529" s="383"/>
    </row>
    <row r="530" spans="1:11" s="182" customFormat="1" x14ac:dyDescent="0.15">
      <c r="A530" s="383"/>
      <c r="B530">
        <v>1711000580</v>
      </c>
      <c r="D530" s="278" t="s">
        <v>648</v>
      </c>
      <c r="E530" s="183"/>
      <c r="F530" s="157">
        <v>0</v>
      </c>
      <c r="G530" s="166"/>
      <c r="H530" s="157">
        <v>0</v>
      </c>
      <c r="I530" s="166"/>
      <c r="J530" s="157">
        <v>0</v>
      </c>
      <c r="K530" s="383"/>
    </row>
    <row r="531" spans="1:11" x14ac:dyDescent="0.15">
      <c r="A531" s="383"/>
      <c r="B531">
        <v>1711000581</v>
      </c>
      <c r="D531" s="278" t="s">
        <v>1787</v>
      </c>
      <c r="F531" s="157">
        <v>5940</v>
      </c>
      <c r="H531" s="157">
        <v>6000</v>
      </c>
      <c r="J531" s="157">
        <v>5513.63</v>
      </c>
      <c r="K531" s="383"/>
    </row>
    <row r="532" spans="1:11" x14ac:dyDescent="0.15">
      <c r="A532" s="383"/>
      <c r="B532">
        <v>1711000760</v>
      </c>
      <c r="D532" s="278" t="s">
        <v>552</v>
      </c>
      <c r="F532" s="157">
        <v>0</v>
      </c>
      <c r="H532" s="157">
        <v>0</v>
      </c>
      <c r="J532" s="157">
        <v>12463.04</v>
      </c>
      <c r="K532" s="383"/>
    </row>
    <row r="533" spans="1:11" x14ac:dyDescent="0.15">
      <c r="A533" s="383"/>
      <c r="B533">
        <v>1711000780</v>
      </c>
      <c r="D533" s="278" t="s">
        <v>650</v>
      </c>
      <c r="F533" s="157">
        <v>2500</v>
      </c>
      <c r="H533" s="157">
        <v>2200</v>
      </c>
      <c r="J533" s="157">
        <v>16888.41</v>
      </c>
      <c r="K533" s="383"/>
    </row>
    <row r="534" spans="1:11" s="182" customFormat="1" x14ac:dyDescent="0.15">
      <c r="A534" s="383"/>
      <c r="B534">
        <v>1711000930</v>
      </c>
      <c r="D534" s="278" t="s">
        <v>651</v>
      </c>
      <c r="E534" s="183"/>
      <c r="F534" s="157">
        <v>6000</v>
      </c>
      <c r="G534" s="166"/>
      <c r="H534" s="157">
        <v>6300</v>
      </c>
      <c r="I534" s="166"/>
      <c r="J534" s="157">
        <v>5151.21</v>
      </c>
      <c r="K534" s="383"/>
    </row>
    <row r="535" spans="1:11" x14ac:dyDescent="0.15">
      <c r="A535" s="383"/>
      <c r="B535">
        <v>1711003731</v>
      </c>
      <c r="D535" s="278" t="s">
        <v>113</v>
      </c>
      <c r="F535" s="157">
        <v>0</v>
      </c>
      <c r="H535" s="157">
        <v>0</v>
      </c>
      <c r="J535" s="157">
        <v>0</v>
      </c>
      <c r="K535" s="383"/>
    </row>
    <row r="536" spans="1:11" x14ac:dyDescent="0.15">
      <c r="A536" s="383"/>
      <c r="B536">
        <v>1711100980</v>
      </c>
      <c r="D536" s="278" t="s">
        <v>652</v>
      </c>
      <c r="F536" s="157">
        <v>0</v>
      </c>
      <c r="H536" s="157">
        <v>0</v>
      </c>
      <c r="J536" s="157">
        <v>0</v>
      </c>
      <c r="K536" s="383"/>
    </row>
    <row r="537" spans="1:11" x14ac:dyDescent="0.15">
      <c r="A537" s="383"/>
      <c r="B537">
        <v>1712000110</v>
      </c>
      <c r="D537" s="278" t="s">
        <v>38</v>
      </c>
      <c r="F537" s="157">
        <v>2671367</v>
      </c>
      <c r="H537" s="157">
        <v>2688629</v>
      </c>
      <c r="J537" s="157">
        <v>2245156.46</v>
      </c>
      <c r="K537" s="383"/>
    </row>
    <row r="538" spans="1:11" x14ac:dyDescent="0.15">
      <c r="A538" s="383"/>
      <c r="B538">
        <v>1712000731</v>
      </c>
      <c r="D538" s="278" t="s">
        <v>46</v>
      </c>
      <c r="F538" s="157">
        <v>137000</v>
      </c>
      <c r="H538" s="157">
        <v>136932</v>
      </c>
      <c r="J538" s="157">
        <v>121188.12</v>
      </c>
      <c r="K538" s="383"/>
    </row>
    <row r="539" spans="1:11" s="182" customFormat="1" x14ac:dyDescent="0.15">
      <c r="A539" s="383"/>
      <c r="B539">
        <v>1712000910</v>
      </c>
      <c r="D539" s="278" t="s">
        <v>2102</v>
      </c>
      <c r="E539" s="183"/>
      <c r="F539" s="157">
        <v>0</v>
      </c>
      <c r="G539" s="166"/>
      <c r="H539" s="157">
        <v>320700</v>
      </c>
      <c r="I539" s="166"/>
      <c r="J539" s="157">
        <v>0</v>
      </c>
      <c r="K539" s="383"/>
    </row>
    <row r="540" spans="1:11" x14ac:dyDescent="0.15">
      <c r="A540" s="383"/>
      <c r="B540">
        <v>1712001731</v>
      </c>
      <c r="D540" s="278" t="s">
        <v>47</v>
      </c>
      <c r="F540" s="157">
        <v>125000</v>
      </c>
      <c r="H540" s="157">
        <v>139986</v>
      </c>
      <c r="J540" s="157">
        <v>179942.5</v>
      </c>
      <c r="K540" s="383"/>
    </row>
    <row r="541" spans="1:11" x14ac:dyDescent="0.15">
      <c r="A541" s="383"/>
      <c r="B541">
        <v>1712002731</v>
      </c>
      <c r="D541" s="278" t="s">
        <v>256</v>
      </c>
      <c r="F541" s="157">
        <v>152000</v>
      </c>
      <c r="H541" s="157">
        <v>137105</v>
      </c>
      <c r="J541" s="157">
        <v>143521.26999999999</v>
      </c>
      <c r="K541" s="383"/>
    </row>
    <row r="542" spans="1:11" x14ac:dyDescent="0.15">
      <c r="A542" s="383"/>
      <c r="B542">
        <v>1712003731</v>
      </c>
      <c r="D542" s="278" t="s">
        <v>257</v>
      </c>
      <c r="F542" s="157">
        <v>105000</v>
      </c>
      <c r="H542" s="157">
        <v>137062</v>
      </c>
      <c r="J542" s="157">
        <v>110871.09</v>
      </c>
      <c r="K542" s="383"/>
    </row>
    <row r="543" spans="1:11" s="182" customFormat="1" x14ac:dyDescent="0.15">
      <c r="A543" s="383"/>
      <c r="B543">
        <v>1712004731</v>
      </c>
      <c r="D543" s="278" t="s">
        <v>104</v>
      </c>
      <c r="E543" s="183"/>
      <c r="F543" s="157">
        <v>105000</v>
      </c>
      <c r="G543" s="166"/>
      <c r="H543" s="157">
        <v>100267</v>
      </c>
      <c r="I543" s="166"/>
      <c r="J543" s="157">
        <v>154976.89000000001</v>
      </c>
      <c r="K543" s="383"/>
    </row>
    <row r="544" spans="1:11" s="182" customFormat="1" x14ac:dyDescent="0.15">
      <c r="A544" s="383"/>
      <c r="B544">
        <v>1712005731</v>
      </c>
      <c r="D544" s="278" t="s">
        <v>1526</v>
      </c>
      <c r="E544" s="183"/>
      <c r="F544" s="157">
        <v>132000</v>
      </c>
      <c r="G544" s="166"/>
      <c r="H544" s="157">
        <v>158531</v>
      </c>
      <c r="I544" s="166"/>
      <c r="J544" s="157">
        <v>152232.26999999999</v>
      </c>
      <c r="K544" s="383"/>
    </row>
    <row r="545" spans="1:11" x14ac:dyDescent="0.15">
      <c r="A545" s="383"/>
      <c r="B545">
        <v>1712006731</v>
      </c>
      <c r="D545" s="278" t="s">
        <v>1525</v>
      </c>
      <c r="F545" s="157">
        <v>192000</v>
      </c>
      <c r="H545" s="157">
        <v>165493</v>
      </c>
      <c r="J545" s="157">
        <v>147543.85999999999</v>
      </c>
      <c r="K545" s="383"/>
    </row>
    <row r="546" spans="1:11" s="182" customFormat="1" x14ac:dyDescent="0.15">
      <c r="A546" s="383"/>
      <c r="B546">
        <v>1712200110</v>
      </c>
      <c r="C546"/>
      <c r="D546" s="278" t="s">
        <v>521</v>
      </c>
      <c r="E546" s="183"/>
      <c r="F546" s="157">
        <v>0</v>
      </c>
      <c r="G546" s="166"/>
      <c r="H546" s="157">
        <v>0</v>
      </c>
      <c r="I546" s="166"/>
      <c r="J546" s="157">
        <v>200432.64000000001</v>
      </c>
      <c r="K546" s="383"/>
    </row>
    <row r="547" spans="1:11" s="182" customFormat="1" x14ac:dyDescent="0.15">
      <c r="A547" s="383"/>
      <c r="B547">
        <v>1712200430</v>
      </c>
      <c r="C547"/>
      <c r="D547" s="278" t="s">
        <v>1788</v>
      </c>
      <c r="E547" s="183"/>
      <c r="F547" s="157">
        <v>106800</v>
      </c>
      <c r="G547" s="166"/>
      <c r="H547" s="157">
        <v>75000</v>
      </c>
      <c r="I547" s="166"/>
      <c r="J547" s="157">
        <v>100886.85</v>
      </c>
      <c r="K547" s="383"/>
    </row>
    <row r="548" spans="1:11" x14ac:dyDescent="0.15">
      <c r="A548" s="383"/>
      <c r="B548">
        <v>1712200751</v>
      </c>
      <c r="D548" s="278" t="s">
        <v>656</v>
      </c>
      <c r="F548" s="157">
        <v>12000000</v>
      </c>
      <c r="H548" s="157">
        <v>10793880</v>
      </c>
      <c r="J548" s="157">
        <v>9950102.9499999993</v>
      </c>
      <c r="K548" s="383"/>
    </row>
    <row r="549" spans="1:11" x14ac:dyDescent="0.15">
      <c r="A549" s="383"/>
      <c r="B549">
        <v>1712200752</v>
      </c>
      <c r="D549" s="278" t="s">
        <v>657</v>
      </c>
      <c r="F549" s="157">
        <v>50000</v>
      </c>
      <c r="H549" s="157">
        <v>0</v>
      </c>
      <c r="J549" s="157">
        <v>154200</v>
      </c>
      <c r="K549" s="383"/>
    </row>
    <row r="550" spans="1:11" s="182" customFormat="1" x14ac:dyDescent="0.15">
      <c r="A550" s="383"/>
      <c r="B550">
        <v>1712200753</v>
      </c>
      <c r="D550" s="278" t="s">
        <v>1789</v>
      </c>
      <c r="E550" s="183"/>
      <c r="F550" s="157">
        <v>12000</v>
      </c>
      <c r="G550" s="166"/>
      <c r="H550" s="157">
        <v>19500</v>
      </c>
      <c r="I550" s="166"/>
      <c r="J550" s="157">
        <v>17288.689999999999</v>
      </c>
      <c r="K550" s="383"/>
    </row>
    <row r="551" spans="1:11" s="182" customFormat="1" x14ac:dyDescent="0.15">
      <c r="A551" s="383"/>
      <c r="B551">
        <v>1712200754</v>
      </c>
      <c r="D551" s="278" t="s">
        <v>1550</v>
      </c>
      <c r="E551" s="183"/>
      <c r="F551" s="157">
        <v>30000</v>
      </c>
      <c r="G551" s="166"/>
      <c r="H551" s="157">
        <v>121400</v>
      </c>
      <c r="I551" s="166"/>
      <c r="J551" s="157">
        <v>242120</v>
      </c>
      <c r="K551" s="383"/>
    </row>
    <row r="552" spans="1:11" x14ac:dyDescent="0.15">
      <c r="A552" s="383"/>
      <c r="B552">
        <v>1712200755</v>
      </c>
      <c r="D552" s="278" t="s">
        <v>1643</v>
      </c>
      <c r="F552" s="157">
        <v>0</v>
      </c>
      <c r="H552" s="157">
        <v>0</v>
      </c>
      <c r="J552" s="157">
        <v>63974</v>
      </c>
      <c r="K552" s="383"/>
    </row>
    <row r="553" spans="1:11" x14ac:dyDescent="0.15">
      <c r="A553" s="383"/>
      <c r="B553">
        <v>1712201731</v>
      </c>
      <c r="D553" s="278" t="s">
        <v>659</v>
      </c>
      <c r="F553" s="157">
        <v>0</v>
      </c>
      <c r="H553" s="157">
        <v>0</v>
      </c>
      <c r="J553" s="157">
        <v>-32</v>
      </c>
      <c r="K553" s="383"/>
    </row>
    <row r="554" spans="1:11" s="182" customFormat="1" x14ac:dyDescent="0.15">
      <c r="A554" s="383"/>
      <c r="B554">
        <v>1712210750</v>
      </c>
      <c r="D554" s="278" t="s">
        <v>75</v>
      </c>
      <c r="E554" s="183"/>
      <c r="F554" s="157">
        <v>700000</v>
      </c>
      <c r="G554" s="166"/>
      <c r="H554" s="157">
        <v>666000</v>
      </c>
      <c r="I554" s="166"/>
      <c r="J554" s="157">
        <v>660758</v>
      </c>
      <c r="K554" s="383"/>
    </row>
    <row r="555" spans="1:11" x14ac:dyDescent="0.15">
      <c r="A555" s="383"/>
      <c r="B555">
        <v>1712210751</v>
      </c>
      <c r="D555" s="278" t="s">
        <v>1547</v>
      </c>
      <c r="F555" s="157">
        <v>281000</v>
      </c>
      <c r="H555" s="157">
        <v>306000</v>
      </c>
      <c r="J555" s="157">
        <v>323985.59000000003</v>
      </c>
      <c r="K555" s="383"/>
    </row>
    <row r="556" spans="1:11" x14ac:dyDescent="0.15">
      <c r="A556" s="383"/>
      <c r="B556">
        <v>1712300110</v>
      </c>
      <c r="D556" s="278" t="s">
        <v>522</v>
      </c>
      <c r="F556" s="157">
        <v>747373</v>
      </c>
      <c r="H556" s="157">
        <v>736739</v>
      </c>
      <c r="J556" s="157">
        <v>712793.03</v>
      </c>
      <c r="K556" s="383"/>
    </row>
    <row r="557" spans="1:11" x14ac:dyDescent="0.15">
      <c r="A557" s="383"/>
      <c r="B557">
        <v>1712300560</v>
      </c>
      <c r="D557" s="278" t="s">
        <v>664</v>
      </c>
      <c r="F557" s="157">
        <v>0</v>
      </c>
      <c r="H557" s="157">
        <v>0</v>
      </c>
      <c r="J557" s="157">
        <v>1132.69</v>
      </c>
      <c r="K557" s="383"/>
    </row>
    <row r="558" spans="1:11" s="182" customFormat="1" x14ac:dyDescent="0.15">
      <c r="A558" s="383"/>
      <c r="B558">
        <v>1712300750</v>
      </c>
      <c r="C558"/>
      <c r="D558" s="278" t="s">
        <v>666</v>
      </c>
      <c r="E558" s="183"/>
      <c r="F558" s="157">
        <v>7941065.6494259983</v>
      </c>
      <c r="G558" s="166"/>
      <c r="H558" s="157">
        <v>8162750.7000000002</v>
      </c>
      <c r="I558" s="166"/>
      <c r="J558" s="157">
        <v>8034593</v>
      </c>
      <c r="K558" s="383"/>
    </row>
    <row r="559" spans="1:11" x14ac:dyDescent="0.15">
      <c r="A559" s="383"/>
      <c r="B559">
        <v>1712300752</v>
      </c>
      <c r="D559" s="278" t="s">
        <v>668</v>
      </c>
      <c r="F559" s="157">
        <v>15000</v>
      </c>
      <c r="H559" s="157">
        <v>319200</v>
      </c>
      <c r="J559" s="157">
        <v>337359.46</v>
      </c>
      <c r="K559" s="383"/>
    </row>
    <row r="560" spans="1:11" s="182" customFormat="1" x14ac:dyDescent="0.15">
      <c r="A560" s="383"/>
      <c r="B560">
        <v>1712300753</v>
      </c>
      <c r="C560"/>
      <c r="D560" s="278" t="s">
        <v>669</v>
      </c>
      <c r="E560" s="183"/>
      <c r="F560" s="157">
        <v>140000</v>
      </c>
      <c r="G560" s="166"/>
      <c r="H560" s="157">
        <v>100000</v>
      </c>
      <c r="I560" s="166"/>
      <c r="J560" s="157">
        <v>129299</v>
      </c>
      <c r="K560" s="383"/>
    </row>
    <row r="561" spans="1:11" x14ac:dyDescent="0.15">
      <c r="A561" s="383"/>
      <c r="B561">
        <v>1712300755</v>
      </c>
      <c r="D561" s="278" t="s">
        <v>671</v>
      </c>
      <c r="F561" s="157">
        <v>0</v>
      </c>
      <c r="H561" s="157">
        <v>0</v>
      </c>
      <c r="J561" s="157">
        <v>125634.56</v>
      </c>
      <c r="K561" s="383"/>
    </row>
    <row r="562" spans="1:11" s="182" customFormat="1" x14ac:dyDescent="0.15">
      <c r="A562" s="383"/>
      <c r="B562">
        <v>1712300756</v>
      </c>
      <c r="D562" s="278" t="s">
        <v>1229</v>
      </c>
      <c r="E562" s="183"/>
      <c r="F562" s="157">
        <v>100800</v>
      </c>
      <c r="G562" s="166"/>
      <c r="H562" s="157">
        <v>90000</v>
      </c>
      <c r="I562" s="166"/>
      <c r="J562" s="157">
        <v>86191</v>
      </c>
      <c r="K562" s="383"/>
    </row>
    <row r="563" spans="1:11" x14ac:dyDescent="0.15">
      <c r="A563" s="383"/>
      <c r="B563">
        <v>1712300757</v>
      </c>
      <c r="D563" s="278" t="s">
        <v>1523</v>
      </c>
      <c r="F563" s="157">
        <v>0</v>
      </c>
      <c r="H563" s="157">
        <v>4000</v>
      </c>
      <c r="J563" s="157">
        <v>518.33000000000004</v>
      </c>
      <c r="K563" s="383"/>
    </row>
    <row r="564" spans="1:11" s="182" customFormat="1" x14ac:dyDescent="0.15">
      <c r="A564" s="383"/>
      <c r="B564">
        <v>1712300781</v>
      </c>
      <c r="D564" s="278" t="s">
        <v>2103</v>
      </c>
      <c r="E564" s="183"/>
      <c r="F564" s="157">
        <v>20000</v>
      </c>
      <c r="G564" s="166"/>
      <c r="H564" s="157">
        <v>25000</v>
      </c>
      <c r="I564" s="166"/>
      <c r="J564" s="157">
        <v>0</v>
      </c>
      <c r="K564" s="383"/>
    </row>
    <row r="565" spans="1:11" x14ac:dyDescent="0.15">
      <c r="A565" s="383"/>
      <c r="B565">
        <v>1712303731</v>
      </c>
      <c r="D565" s="278" t="s">
        <v>672</v>
      </c>
      <c r="F565" s="157">
        <v>0</v>
      </c>
      <c r="H565" s="157">
        <v>257580</v>
      </c>
      <c r="J565" s="157">
        <v>206695.75</v>
      </c>
      <c r="K565" s="383"/>
    </row>
    <row r="566" spans="1:11" x14ac:dyDescent="0.15">
      <c r="A566" s="383"/>
      <c r="B566">
        <v>1712304731</v>
      </c>
      <c r="D566" s="278" t="s">
        <v>673</v>
      </c>
      <c r="F566" s="157">
        <v>0</v>
      </c>
      <c r="H566" s="157">
        <v>142920</v>
      </c>
      <c r="J566" s="157">
        <v>109544.59</v>
      </c>
      <c r="K566" s="383"/>
    </row>
    <row r="567" spans="1:11" s="182" customFormat="1" x14ac:dyDescent="0.15">
      <c r="A567" s="383"/>
      <c r="B567">
        <v>1712306731</v>
      </c>
      <c r="C567"/>
      <c r="D567" s="278" t="s">
        <v>1230</v>
      </c>
      <c r="E567" s="183"/>
      <c r="F567" s="157">
        <v>0</v>
      </c>
      <c r="G567" s="166"/>
      <c r="H567" s="157">
        <v>0</v>
      </c>
      <c r="I567" s="166"/>
      <c r="J567" s="157">
        <v>0</v>
      </c>
      <c r="K567" s="383"/>
    </row>
    <row r="568" spans="1:11" x14ac:dyDescent="0.15">
      <c r="A568" s="383"/>
      <c r="B568">
        <v>1712310110</v>
      </c>
      <c r="D568" s="278" t="s">
        <v>1520</v>
      </c>
      <c r="F568" s="157">
        <v>610374</v>
      </c>
      <c r="H568" s="157">
        <v>640605</v>
      </c>
      <c r="J568" s="157">
        <v>461273.35</v>
      </c>
      <c r="K568" s="383"/>
    </row>
    <row r="569" spans="1:11" x14ac:dyDescent="0.15">
      <c r="A569" s="383"/>
      <c r="B569">
        <v>1712311731</v>
      </c>
      <c r="D569" s="278" t="s">
        <v>677</v>
      </c>
      <c r="F569" s="157">
        <v>1941</v>
      </c>
      <c r="H569" s="157">
        <v>1974</v>
      </c>
      <c r="J569" s="157">
        <v>2414</v>
      </c>
      <c r="K569" s="383"/>
    </row>
    <row r="570" spans="1:11" x14ac:dyDescent="0.15">
      <c r="A570" s="383"/>
      <c r="B570">
        <v>1712312731</v>
      </c>
      <c r="D570" s="278" t="s">
        <v>678</v>
      </c>
      <c r="F570" s="157">
        <v>53955</v>
      </c>
      <c r="H570" s="157">
        <v>44793</v>
      </c>
      <c r="J570" s="157">
        <v>62185.74</v>
      </c>
      <c r="K570" s="383"/>
    </row>
    <row r="571" spans="1:11" x14ac:dyDescent="0.15">
      <c r="A571" s="383"/>
      <c r="B571">
        <v>1712314731</v>
      </c>
      <c r="D571" s="278" t="s">
        <v>679</v>
      </c>
      <c r="F571" s="157">
        <v>85200</v>
      </c>
      <c r="H571" s="157">
        <v>134284</v>
      </c>
      <c r="J571" s="157">
        <v>141192.23000000001</v>
      </c>
      <c r="K571" s="383"/>
    </row>
    <row r="572" spans="1:11" x14ac:dyDescent="0.15">
      <c r="A572" s="383"/>
      <c r="B572">
        <v>1712316731</v>
      </c>
      <c r="D572" s="278" t="s">
        <v>680</v>
      </c>
      <c r="F572" s="157">
        <v>99800</v>
      </c>
      <c r="H572" s="157">
        <v>133403</v>
      </c>
      <c r="J572" s="157">
        <v>140476.54999999999</v>
      </c>
      <c r="K572" s="383"/>
    </row>
    <row r="573" spans="1:11" s="182" customFormat="1" x14ac:dyDescent="0.15">
      <c r="A573" s="383"/>
      <c r="B573">
        <v>1712323731</v>
      </c>
      <c r="D573" s="278" t="s">
        <v>2108</v>
      </c>
      <c r="E573" s="183"/>
      <c r="F573" s="157">
        <v>120000</v>
      </c>
      <c r="G573" s="166"/>
      <c r="H573" s="157">
        <v>0</v>
      </c>
      <c r="I573" s="166"/>
      <c r="J573" s="157">
        <v>0</v>
      </c>
      <c r="K573" s="383"/>
    </row>
    <row r="574" spans="1:11" s="182" customFormat="1" x14ac:dyDescent="0.15">
      <c r="A574" s="383"/>
      <c r="B574">
        <v>1712324731</v>
      </c>
      <c r="D574" s="278" t="s">
        <v>2189</v>
      </c>
      <c r="E574" s="183"/>
      <c r="F574" s="157">
        <v>120000</v>
      </c>
      <c r="G574" s="166"/>
      <c r="H574" s="157"/>
      <c r="I574" s="166"/>
      <c r="J574" s="157"/>
      <c r="K574" s="383"/>
    </row>
    <row r="575" spans="1:11" x14ac:dyDescent="0.15">
      <c r="A575" s="383"/>
      <c r="B575">
        <v>1712400530</v>
      </c>
      <c r="D575" s="278" t="s">
        <v>1519</v>
      </c>
      <c r="F575" s="157">
        <v>70000</v>
      </c>
      <c r="H575" s="157">
        <v>88844</v>
      </c>
      <c r="J575" s="157">
        <v>108781.95</v>
      </c>
      <c r="K575" s="383"/>
    </row>
    <row r="576" spans="1:11" x14ac:dyDescent="0.15">
      <c r="A576" s="383"/>
      <c r="B576">
        <v>1712409530</v>
      </c>
      <c r="D576" s="278" t="s">
        <v>1790</v>
      </c>
      <c r="F576" s="157">
        <v>0</v>
      </c>
      <c r="H576" s="157">
        <v>0</v>
      </c>
      <c r="J576" s="157">
        <v>11083.51</v>
      </c>
      <c r="K576" s="383"/>
    </row>
    <row r="577" spans="1:11" s="182" customFormat="1" x14ac:dyDescent="0.15">
      <c r="A577" s="383"/>
      <c r="B577">
        <v>1712409731</v>
      </c>
      <c r="D577" s="278" t="s">
        <v>1518</v>
      </c>
      <c r="E577" s="183"/>
      <c r="F577" s="157">
        <v>0</v>
      </c>
      <c r="G577" s="166"/>
      <c r="H577" s="157">
        <v>0</v>
      </c>
      <c r="I577" s="166"/>
      <c r="J577" s="157">
        <v>0</v>
      </c>
      <c r="K577" s="383"/>
    </row>
    <row r="578" spans="1:11" x14ac:dyDescent="0.15">
      <c r="A578" s="383"/>
      <c r="B578">
        <v>1712500110</v>
      </c>
      <c r="D578" s="278" t="s">
        <v>76</v>
      </c>
      <c r="F578" s="157">
        <v>172777</v>
      </c>
      <c r="H578" s="157">
        <v>260000</v>
      </c>
      <c r="J578" s="157">
        <v>0</v>
      </c>
      <c r="K578" s="383"/>
    </row>
    <row r="579" spans="1:11" x14ac:dyDescent="0.15">
      <c r="A579" s="383"/>
      <c r="B579">
        <v>1712500750</v>
      </c>
      <c r="D579" s="278" t="s">
        <v>1791</v>
      </c>
      <c r="F579" s="157">
        <v>5062680</v>
      </c>
      <c r="H579" s="157">
        <v>4903760</v>
      </c>
      <c r="J579" s="157">
        <v>3873794.15</v>
      </c>
      <c r="K579" s="383"/>
    </row>
    <row r="580" spans="1:11" x14ac:dyDescent="0.15">
      <c r="A580" s="383"/>
      <c r="B580">
        <v>1712500751</v>
      </c>
      <c r="D580" s="278" t="s">
        <v>683</v>
      </c>
      <c r="F580" s="157">
        <v>700000</v>
      </c>
      <c r="H580" s="157">
        <v>700000</v>
      </c>
      <c r="J580" s="157">
        <v>501525.03</v>
      </c>
      <c r="K580" s="383"/>
    </row>
    <row r="581" spans="1:11" s="182" customFormat="1" x14ac:dyDescent="0.15">
      <c r="A581" s="383"/>
      <c r="B581">
        <v>1712500780</v>
      </c>
      <c r="D581" s="278" t="s">
        <v>1792</v>
      </c>
      <c r="E581" s="183"/>
      <c r="F581" s="157">
        <v>320000</v>
      </c>
      <c r="G581" s="166"/>
      <c r="H581" s="157">
        <v>60000</v>
      </c>
      <c r="I581" s="166"/>
      <c r="J581" s="157">
        <v>16512.21</v>
      </c>
      <c r="K581" s="383"/>
    </row>
    <row r="582" spans="1:11" s="182" customFormat="1" x14ac:dyDescent="0.15">
      <c r="A582" s="383"/>
      <c r="B582">
        <v>1712501731</v>
      </c>
      <c r="D582" s="278" t="s">
        <v>684</v>
      </c>
      <c r="E582" s="183"/>
      <c r="F582" s="157">
        <v>0</v>
      </c>
      <c r="G582" s="166"/>
      <c r="H582" s="157">
        <v>11992</v>
      </c>
      <c r="I582" s="166"/>
      <c r="J582" s="157">
        <v>12565.67</v>
      </c>
      <c r="K582" s="383"/>
    </row>
    <row r="583" spans="1:11" x14ac:dyDescent="0.15">
      <c r="A583" s="383"/>
      <c r="B583">
        <v>1712503731</v>
      </c>
      <c r="D583" s="278" t="s">
        <v>1616</v>
      </c>
      <c r="F583" s="157">
        <v>20348</v>
      </c>
      <c r="H583" s="157">
        <v>0</v>
      </c>
      <c r="J583" s="157">
        <v>1976</v>
      </c>
      <c r="K583" s="383"/>
    </row>
    <row r="584" spans="1:11" s="182" customFormat="1" x14ac:dyDescent="0.15">
      <c r="A584" s="383"/>
      <c r="B584">
        <v>1712504731</v>
      </c>
      <c r="D584" s="278" t="s">
        <v>2059</v>
      </c>
      <c r="E584" s="183"/>
      <c r="F584" s="157">
        <v>0</v>
      </c>
      <c r="G584" s="166"/>
      <c r="H584" s="157">
        <v>0</v>
      </c>
      <c r="I584" s="166"/>
      <c r="J584" s="157">
        <v>256.35000000000002</v>
      </c>
      <c r="K584" s="383"/>
    </row>
    <row r="585" spans="1:11" s="182" customFormat="1" x14ac:dyDescent="0.15">
      <c r="A585" s="383"/>
      <c r="B585">
        <v>1712506731</v>
      </c>
      <c r="D585" s="278" t="s">
        <v>2060</v>
      </c>
      <c r="E585" s="183"/>
      <c r="F585" s="157">
        <v>0</v>
      </c>
      <c r="G585" s="166"/>
      <c r="H585" s="157">
        <v>0</v>
      </c>
      <c r="I585" s="166"/>
      <c r="J585" s="157">
        <v>78474</v>
      </c>
      <c r="K585" s="383"/>
    </row>
    <row r="586" spans="1:11" x14ac:dyDescent="0.15">
      <c r="A586" s="383"/>
      <c r="B586">
        <v>1712509530</v>
      </c>
      <c r="D586" s="278" t="s">
        <v>1793</v>
      </c>
      <c r="F586" s="157">
        <v>0</v>
      </c>
      <c r="H586" s="157">
        <v>0</v>
      </c>
      <c r="J586" s="157">
        <v>0</v>
      </c>
      <c r="K586" s="383"/>
    </row>
    <row r="587" spans="1:11" x14ac:dyDescent="0.15">
      <c r="A587" s="383"/>
      <c r="B587">
        <v>1712600731</v>
      </c>
      <c r="D587" s="278" t="s">
        <v>1794</v>
      </c>
      <c r="F587" s="157">
        <v>13000</v>
      </c>
      <c r="H587" s="157">
        <v>11516</v>
      </c>
      <c r="J587" s="157">
        <v>10861.69</v>
      </c>
      <c r="K587" s="383"/>
    </row>
    <row r="588" spans="1:11" x14ac:dyDescent="0.15">
      <c r="A588" s="383"/>
      <c r="B588">
        <v>1712800731</v>
      </c>
      <c r="D588" s="278" t="s">
        <v>1795</v>
      </c>
      <c r="F588" s="157">
        <v>11193</v>
      </c>
      <c r="H588" s="157">
        <v>11193</v>
      </c>
      <c r="J588" s="157">
        <v>9124.14</v>
      </c>
      <c r="K588" s="383"/>
    </row>
    <row r="589" spans="1:11" x14ac:dyDescent="0.15">
      <c r="A589" s="383"/>
      <c r="B589">
        <v>1713000731</v>
      </c>
      <c r="D589" s="278" t="s">
        <v>686</v>
      </c>
      <c r="F589" s="157">
        <v>40000</v>
      </c>
      <c r="H589" s="157">
        <v>48414</v>
      </c>
      <c r="J589" s="157">
        <v>48620.24</v>
      </c>
      <c r="K589" s="383"/>
    </row>
    <row r="590" spans="1:11" s="182" customFormat="1" x14ac:dyDescent="0.15">
      <c r="A590" s="383"/>
      <c r="B590">
        <v>1713001530</v>
      </c>
      <c r="D590" s="278" t="s">
        <v>2114</v>
      </c>
      <c r="E590" s="183"/>
      <c r="F590" s="157">
        <v>0</v>
      </c>
      <c r="G590" s="166"/>
      <c r="H590" s="157">
        <v>0</v>
      </c>
      <c r="I590" s="166"/>
      <c r="J590" s="157">
        <v>12255.94</v>
      </c>
      <c r="K590" s="383"/>
    </row>
    <row r="591" spans="1:11" x14ac:dyDescent="0.15">
      <c r="A591" s="383"/>
      <c r="B591">
        <v>1713001731</v>
      </c>
      <c r="D591" s="278" t="s">
        <v>1450</v>
      </c>
      <c r="F591" s="157">
        <v>0</v>
      </c>
      <c r="H591" s="157">
        <v>0</v>
      </c>
      <c r="J591" s="157">
        <v>0</v>
      </c>
      <c r="K591" s="383"/>
    </row>
    <row r="592" spans="1:11" x14ac:dyDescent="0.15">
      <c r="A592" s="383"/>
      <c r="B592">
        <v>1713002731</v>
      </c>
      <c r="D592" s="278" t="s">
        <v>1451</v>
      </c>
      <c r="F592" s="157">
        <v>0</v>
      </c>
      <c r="H592" s="157">
        <v>0</v>
      </c>
      <c r="J592" s="157">
        <v>297</v>
      </c>
      <c r="K592" s="383"/>
    </row>
    <row r="593" spans="1:11" s="182" customFormat="1" x14ac:dyDescent="0.15">
      <c r="A593" s="383"/>
      <c r="B593">
        <v>1713004731</v>
      </c>
      <c r="D593" s="278" t="s">
        <v>2115</v>
      </c>
      <c r="E593" s="183"/>
      <c r="F593" s="157">
        <v>0</v>
      </c>
      <c r="G593" s="166"/>
      <c r="H593" s="157">
        <v>0</v>
      </c>
      <c r="I593" s="166"/>
      <c r="J593" s="157">
        <v>11571.14</v>
      </c>
      <c r="K593" s="383"/>
    </row>
    <row r="594" spans="1:11" s="182" customFormat="1" x14ac:dyDescent="0.15">
      <c r="A594" s="383"/>
      <c r="B594">
        <v>1713100731</v>
      </c>
      <c r="D594" s="278" t="s">
        <v>2116</v>
      </c>
      <c r="E594" s="183"/>
      <c r="F594" s="157">
        <v>2000</v>
      </c>
      <c r="G594" s="166"/>
      <c r="H594" s="157">
        <v>0</v>
      </c>
      <c r="I594" s="166"/>
      <c r="J594" s="157">
        <v>0</v>
      </c>
      <c r="K594" s="383"/>
    </row>
    <row r="595" spans="1:11" x14ac:dyDescent="0.15">
      <c r="A595" s="383"/>
      <c r="B595">
        <v>1713200110</v>
      </c>
      <c r="D595" s="278" t="s">
        <v>523</v>
      </c>
      <c r="F595" s="157">
        <v>1432714</v>
      </c>
      <c r="H595" s="157">
        <v>1240671</v>
      </c>
      <c r="J595" s="157">
        <v>1181771.93</v>
      </c>
      <c r="K595" s="383"/>
    </row>
    <row r="596" spans="1:11" x14ac:dyDescent="0.15">
      <c r="A596" s="383"/>
      <c r="B596">
        <v>1714000110</v>
      </c>
      <c r="D596" s="278" t="s">
        <v>524</v>
      </c>
      <c r="F596" s="157">
        <v>802205</v>
      </c>
      <c r="H596" s="157">
        <v>713843</v>
      </c>
      <c r="J596" s="157">
        <v>876253.74</v>
      </c>
      <c r="K596" s="383"/>
    </row>
    <row r="597" spans="1:11" s="182" customFormat="1" x14ac:dyDescent="0.15">
      <c r="A597" s="383"/>
      <c r="B597">
        <v>1714000210</v>
      </c>
      <c r="D597" s="278" t="s">
        <v>524</v>
      </c>
      <c r="E597" s="183"/>
      <c r="F597" s="157">
        <v>0</v>
      </c>
      <c r="G597" s="166"/>
      <c r="H597" s="157">
        <v>3833</v>
      </c>
      <c r="I597" s="166"/>
      <c r="J597" s="157">
        <v>3703.06</v>
      </c>
      <c r="K597" s="383"/>
    </row>
    <row r="598" spans="1:11" s="182" customFormat="1" x14ac:dyDescent="0.15">
      <c r="A598" s="383"/>
      <c r="B598">
        <v>1714200523</v>
      </c>
      <c r="D598" s="278" t="s">
        <v>2036</v>
      </c>
      <c r="E598" s="183"/>
      <c r="F598" s="157">
        <v>5500</v>
      </c>
      <c r="G598" s="166"/>
      <c r="H598" s="157">
        <v>4720</v>
      </c>
      <c r="I598" s="166"/>
      <c r="J598" s="157">
        <v>0</v>
      </c>
      <c r="K598" s="383"/>
    </row>
    <row r="599" spans="1:11" x14ac:dyDescent="0.15">
      <c r="A599" s="383"/>
      <c r="B599">
        <v>1714200560</v>
      </c>
      <c r="D599" s="278" t="s">
        <v>687</v>
      </c>
      <c r="F599" s="157">
        <v>700</v>
      </c>
      <c r="H599" s="157">
        <v>500</v>
      </c>
      <c r="J599" s="157">
        <v>287.52</v>
      </c>
      <c r="K599" s="383"/>
    </row>
    <row r="600" spans="1:11" s="182" customFormat="1" x14ac:dyDescent="0.15">
      <c r="A600" s="383"/>
      <c r="B600">
        <v>1714200570</v>
      </c>
      <c r="D600" s="278" t="s">
        <v>258</v>
      </c>
      <c r="E600" s="183"/>
      <c r="F600" s="157">
        <v>9196</v>
      </c>
      <c r="G600" s="166"/>
      <c r="H600" s="157">
        <v>9196.2000000000007</v>
      </c>
      <c r="I600" s="166"/>
      <c r="J600" s="157">
        <v>0</v>
      </c>
      <c r="K600" s="383"/>
    </row>
    <row r="601" spans="1:11" x14ac:dyDescent="0.15">
      <c r="A601" s="383"/>
      <c r="B601">
        <v>1714200580</v>
      </c>
      <c r="D601" s="278" t="s">
        <v>688</v>
      </c>
      <c r="F601" s="157">
        <v>300000</v>
      </c>
      <c r="H601" s="157">
        <v>300000</v>
      </c>
      <c r="J601" s="157">
        <v>316360</v>
      </c>
      <c r="K601" s="383"/>
    </row>
    <row r="602" spans="1:11" s="182" customFormat="1" x14ac:dyDescent="0.15">
      <c r="A602" s="383"/>
      <c r="B602">
        <v>1714200581</v>
      </c>
      <c r="D602" s="278" t="s">
        <v>1796</v>
      </c>
      <c r="E602" s="183"/>
      <c r="F602" s="157">
        <v>720</v>
      </c>
      <c r="G602" s="166"/>
      <c r="H602" s="157">
        <v>720</v>
      </c>
      <c r="I602" s="166"/>
      <c r="J602" s="157">
        <v>615.4</v>
      </c>
      <c r="K602" s="383"/>
    </row>
    <row r="603" spans="1:11" s="182" customFormat="1" x14ac:dyDescent="0.15">
      <c r="A603" s="383"/>
      <c r="B603">
        <v>1714200720</v>
      </c>
      <c r="D603" s="278" t="s">
        <v>689</v>
      </c>
      <c r="E603" s="183"/>
      <c r="F603" s="157">
        <v>55000</v>
      </c>
      <c r="G603" s="166"/>
      <c r="H603" s="157">
        <v>55263</v>
      </c>
      <c r="I603" s="166"/>
      <c r="J603" s="157">
        <v>51014</v>
      </c>
      <c r="K603" s="383"/>
    </row>
    <row r="604" spans="1:11" s="182" customFormat="1" x14ac:dyDescent="0.15">
      <c r="A604" s="383"/>
      <c r="B604">
        <v>1714200731</v>
      </c>
      <c r="D604" s="278" t="s">
        <v>1517</v>
      </c>
      <c r="E604" s="183"/>
      <c r="F604" s="157">
        <v>41153</v>
      </c>
      <c r="G604" s="166"/>
      <c r="H604" s="157">
        <v>30396</v>
      </c>
      <c r="I604" s="166"/>
      <c r="J604" s="157">
        <v>27233.360000000001</v>
      </c>
      <c r="K604" s="383"/>
    </row>
    <row r="605" spans="1:11" s="182" customFormat="1" x14ac:dyDescent="0.15">
      <c r="A605" s="383"/>
      <c r="B605">
        <v>1714200750</v>
      </c>
      <c r="D605" s="278" t="s">
        <v>2190</v>
      </c>
      <c r="E605" s="183"/>
      <c r="F605" s="157">
        <v>35000</v>
      </c>
      <c r="G605" s="166"/>
      <c r="H605" s="157"/>
      <c r="I605" s="166"/>
      <c r="J605" s="157"/>
      <c r="K605" s="383"/>
    </row>
    <row r="606" spans="1:11" s="182" customFormat="1" x14ac:dyDescent="0.15">
      <c r="A606" s="383"/>
      <c r="B606">
        <v>1714200781</v>
      </c>
      <c r="D606" s="278" t="s">
        <v>691</v>
      </c>
      <c r="E606" s="183"/>
      <c r="F606" s="157">
        <v>30000</v>
      </c>
      <c r="G606" s="166"/>
      <c r="H606" s="157">
        <v>0</v>
      </c>
      <c r="I606" s="166"/>
      <c r="J606" s="157">
        <v>0</v>
      </c>
      <c r="K606" s="383"/>
    </row>
    <row r="607" spans="1:11" s="182" customFormat="1" x14ac:dyDescent="0.15">
      <c r="A607" s="383"/>
      <c r="B607">
        <v>1714200930</v>
      </c>
      <c r="D607" s="278" t="s">
        <v>2037</v>
      </c>
      <c r="E607" s="183"/>
      <c r="F607" s="157">
        <v>3000</v>
      </c>
      <c r="G607" s="166"/>
      <c r="H607" s="157">
        <v>18088</v>
      </c>
      <c r="I607" s="166"/>
      <c r="J607" s="157">
        <v>0</v>
      </c>
      <c r="K607" s="383"/>
    </row>
    <row r="608" spans="1:11" s="182" customFormat="1" x14ac:dyDescent="0.15">
      <c r="A608" s="383"/>
      <c r="B608">
        <v>1714300731</v>
      </c>
      <c r="D608" s="278" t="s">
        <v>692</v>
      </c>
      <c r="E608" s="183"/>
      <c r="F608" s="157">
        <v>1974</v>
      </c>
      <c r="G608" s="166"/>
      <c r="H608" s="157">
        <v>1974</v>
      </c>
      <c r="I608" s="166"/>
      <c r="J608" s="157">
        <v>1446</v>
      </c>
      <c r="K608" s="383"/>
    </row>
    <row r="609" spans="1:11" s="182" customFormat="1" x14ac:dyDescent="0.15">
      <c r="A609" s="383"/>
      <c r="B609">
        <v>1714300750</v>
      </c>
      <c r="D609" s="278" t="s">
        <v>693</v>
      </c>
      <c r="E609" s="183"/>
      <c r="F609" s="157">
        <v>35100</v>
      </c>
      <c r="G609" s="166"/>
      <c r="H609" s="157"/>
      <c r="I609" s="166"/>
      <c r="J609" s="157"/>
      <c r="K609" s="383"/>
    </row>
    <row r="610" spans="1:11" x14ac:dyDescent="0.15">
      <c r="A610" s="383"/>
      <c r="B610">
        <v>1714300830</v>
      </c>
      <c r="D610" s="278" t="s">
        <v>694</v>
      </c>
      <c r="F610" s="157">
        <v>52000</v>
      </c>
      <c r="H610" s="157">
        <v>53000</v>
      </c>
      <c r="J610" s="157">
        <v>52980</v>
      </c>
      <c r="K610" s="383"/>
    </row>
    <row r="611" spans="1:11" s="182" customFormat="1" x14ac:dyDescent="0.15">
      <c r="A611" s="383"/>
      <c r="B611">
        <v>1715200110</v>
      </c>
      <c r="D611" s="278" t="s">
        <v>523</v>
      </c>
      <c r="E611" s="183"/>
      <c r="F611" s="157">
        <v>153275</v>
      </c>
      <c r="G611" s="166"/>
      <c r="H611" s="157">
        <v>149033</v>
      </c>
      <c r="I611" s="166"/>
      <c r="J611" s="157">
        <v>146360.67000000001</v>
      </c>
      <c r="K611" s="383"/>
    </row>
    <row r="612" spans="1:11" x14ac:dyDescent="0.15">
      <c r="A612" s="383"/>
      <c r="B612">
        <v>1715200511</v>
      </c>
      <c r="D612" s="278" t="s">
        <v>1797</v>
      </c>
      <c r="F612" s="157">
        <v>452.79999999999995</v>
      </c>
      <c r="H612" s="157">
        <v>1000</v>
      </c>
      <c r="J612" s="157">
        <v>1073.58</v>
      </c>
      <c r="K612" s="383"/>
    </row>
    <row r="613" spans="1:11" x14ac:dyDescent="0.15">
      <c r="A613" s="383"/>
      <c r="B613">
        <v>1715200512</v>
      </c>
      <c r="D613" s="278" t="s">
        <v>1798</v>
      </c>
      <c r="F613" s="157">
        <v>2500</v>
      </c>
      <c r="H613" s="157">
        <v>2500</v>
      </c>
      <c r="J613" s="157">
        <v>542.9</v>
      </c>
      <c r="K613" s="383"/>
    </row>
    <row r="614" spans="1:11" s="182" customFormat="1" x14ac:dyDescent="0.15">
      <c r="A614" s="383"/>
      <c r="B614">
        <v>1715200560</v>
      </c>
      <c r="D614" s="278" t="s">
        <v>2191</v>
      </c>
      <c r="E614" s="183"/>
      <c r="F614" s="157">
        <v>2000</v>
      </c>
      <c r="G614" s="166"/>
      <c r="H614" s="157"/>
      <c r="I614" s="166"/>
      <c r="J614" s="157"/>
      <c r="K614" s="383"/>
    </row>
    <row r="615" spans="1:11" x14ac:dyDescent="0.15">
      <c r="A615" s="383"/>
      <c r="B615">
        <v>1715200570</v>
      </c>
      <c r="D615" s="278" t="s">
        <v>1799</v>
      </c>
      <c r="F615" s="157">
        <v>1800</v>
      </c>
      <c r="H615" s="157">
        <v>2110.21</v>
      </c>
      <c r="J615" s="157">
        <v>1525.58</v>
      </c>
      <c r="K615" s="383"/>
    </row>
    <row r="616" spans="1:11" x14ac:dyDescent="0.15">
      <c r="A616" s="383"/>
      <c r="B616">
        <v>1715200720</v>
      </c>
      <c r="D616" s="278" t="s">
        <v>689</v>
      </c>
      <c r="F616" s="157">
        <v>135000</v>
      </c>
      <c r="H616" s="157">
        <v>142976.5</v>
      </c>
      <c r="J616" s="157">
        <v>35516.550000000003</v>
      </c>
      <c r="K616" s="383"/>
    </row>
    <row r="617" spans="1:11" x14ac:dyDescent="0.15">
      <c r="A617" s="383"/>
      <c r="B617">
        <v>1715200780</v>
      </c>
      <c r="D617" s="278" t="s">
        <v>835</v>
      </c>
      <c r="F617" s="157">
        <v>2000</v>
      </c>
      <c r="H617" s="157">
        <v>2000</v>
      </c>
      <c r="J617" s="157">
        <v>1910.07</v>
      </c>
      <c r="K617" s="383"/>
    </row>
    <row r="618" spans="1:11" x14ac:dyDescent="0.15">
      <c r="A618" s="383"/>
      <c r="B618">
        <v>1715300750</v>
      </c>
      <c r="D618" s="278" t="s">
        <v>695</v>
      </c>
      <c r="F618" s="157">
        <v>59676</v>
      </c>
      <c r="H618" s="157">
        <v>59670</v>
      </c>
      <c r="J618" s="157">
        <v>55576</v>
      </c>
      <c r="K618" s="383"/>
    </row>
    <row r="619" spans="1:11" ht="14" thickBot="1" x14ac:dyDescent="0.2">
      <c r="A619" s="383"/>
      <c r="D619" s="282"/>
      <c r="F619" s="158"/>
      <c r="H619" s="158"/>
      <c r="J619" s="158"/>
      <c r="K619" s="383"/>
    </row>
    <row r="620" spans="1:11" x14ac:dyDescent="0.15">
      <c r="A620" s="383"/>
      <c r="D620" s="283" t="s">
        <v>1232</v>
      </c>
      <c r="F620" s="178">
        <v>38634835.649425998</v>
      </c>
      <c r="G620" s="169">
        <v>0</v>
      </c>
      <c r="H620" s="178">
        <v>37713869.610000007</v>
      </c>
      <c r="I620" s="169">
        <v>0</v>
      </c>
      <c r="J620" s="178">
        <v>34895797.900000006</v>
      </c>
      <c r="K620" s="383"/>
    </row>
    <row r="621" spans="1:11" x14ac:dyDescent="0.15">
      <c r="A621" s="383"/>
      <c r="B621">
        <v>1721000110</v>
      </c>
      <c r="D621" s="278" t="s">
        <v>525</v>
      </c>
      <c r="F621" s="157">
        <v>602765</v>
      </c>
      <c r="H621" s="157">
        <v>467994</v>
      </c>
      <c r="J621" s="157">
        <v>466306.64</v>
      </c>
      <c r="K621" s="383"/>
    </row>
    <row r="622" spans="1:11" x14ac:dyDescent="0.15">
      <c r="A622" s="383"/>
      <c r="B622">
        <v>1722000110</v>
      </c>
      <c r="D622" s="278" t="s">
        <v>523</v>
      </c>
      <c r="F622" s="157">
        <v>504561</v>
      </c>
      <c r="H622" s="157">
        <v>488584</v>
      </c>
      <c r="J622" s="157">
        <v>451208.59</v>
      </c>
      <c r="K622" s="383"/>
    </row>
    <row r="623" spans="1:11" x14ac:dyDescent="0.15">
      <c r="A623" s="383"/>
      <c r="B623">
        <v>1722000210</v>
      </c>
      <c r="D623" s="278" t="s">
        <v>526</v>
      </c>
      <c r="F623" s="157">
        <v>1604256</v>
      </c>
      <c r="H623" s="157">
        <v>1157750</v>
      </c>
      <c r="J623" s="157">
        <v>1984739.95</v>
      </c>
      <c r="K623" s="383"/>
    </row>
    <row r="624" spans="1:11" x14ac:dyDescent="0.15">
      <c r="A624" s="383"/>
      <c r="B624">
        <v>1722000430</v>
      </c>
      <c r="D624" s="278" t="s">
        <v>696</v>
      </c>
      <c r="F624" s="157">
        <v>0</v>
      </c>
      <c r="H624" s="157">
        <v>35000</v>
      </c>
      <c r="J624" s="157">
        <v>33020.82</v>
      </c>
      <c r="K624" s="383"/>
    </row>
    <row r="625" spans="1:11" x14ac:dyDescent="0.15">
      <c r="A625" s="383"/>
      <c r="B625">
        <v>1722000511</v>
      </c>
      <c r="D625" s="278" t="s">
        <v>697</v>
      </c>
      <c r="F625" s="157">
        <v>5726.4</v>
      </c>
      <c r="H625" s="157">
        <v>5000</v>
      </c>
      <c r="J625" s="157">
        <v>3191.39</v>
      </c>
      <c r="K625" s="383"/>
    </row>
    <row r="626" spans="1:11" s="182" customFormat="1" x14ac:dyDescent="0.15">
      <c r="A626" s="383"/>
      <c r="B626">
        <v>1722000521</v>
      </c>
      <c r="D626" s="278" t="s">
        <v>2192</v>
      </c>
      <c r="E626" s="183"/>
      <c r="F626" s="157">
        <v>35000</v>
      </c>
      <c r="G626" s="166"/>
      <c r="H626" s="157"/>
      <c r="I626" s="166"/>
      <c r="J626" s="157"/>
      <c r="K626" s="383"/>
    </row>
    <row r="627" spans="1:11" x14ac:dyDescent="0.15">
      <c r="A627" s="383"/>
      <c r="B627">
        <v>1722000540</v>
      </c>
      <c r="D627" s="278" t="s">
        <v>698</v>
      </c>
      <c r="F627" s="157">
        <v>67536</v>
      </c>
      <c r="H627" s="157">
        <v>58584</v>
      </c>
      <c r="J627" s="157">
        <v>50430.71</v>
      </c>
      <c r="K627" s="383"/>
    </row>
    <row r="628" spans="1:11" x14ac:dyDescent="0.15">
      <c r="A628" s="383"/>
      <c r="B628">
        <v>1722000550</v>
      </c>
      <c r="D628" s="278" t="s">
        <v>699</v>
      </c>
      <c r="F628" s="157">
        <v>0</v>
      </c>
      <c r="H628" s="157">
        <v>10000</v>
      </c>
      <c r="J628" s="157">
        <v>11492.13</v>
      </c>
      <c r="K628" s="383"/>
    </row>
    <row r="629" spans="1:11" s="182" customFormat="1" x14ac:dyDescent="0.15">
      <c r="A629" s="383"/>
      <c r="B629">
        <v>1722000560</v>
      </c>
      <c r="D629" s="278" t="s">
        <v>820</v>
      </c>
      <c r="E629" s="183"/>
      <c r="F629" s="157">
        <v>5000</v>
      </c>
      <c r="G629" s="166"/>
      <c r="H629" s="157">
        <v>2500</v>
      </c>
      <c r="I629" s="166"/>
      <c r="J629" s="157">
        <v>2176.92</v>
      </c>
      <c r="K629" s="383"/>
    </row>
    <row r="630" spans="1:11" x14ac:dyDescent="0.15">
      <c r="A630" s="383"/>
      <c r="B630">
        <v>1722000581</v>
      </c>
      <c r="D630" s="278" t="s">
        <v>1800</v>
      </c>
      <c r="F630" s="157">
        <v>720</v>
      </c>
      <c r="H630" s="157">
        <v>720</v>
      </c>
      <c r="J630" s="157">
        <v>647.41</v>
      </c>
      <c r="K630" s="383"/>
    </row>
    <row r="631" spans="1:11" x14ac:dyDescent="0.15">
      <c r="A631" s="383"/>
      <c r="B631">
        <v>1722000750</v>
      </c>
      <c r="D631" s="278" t="s">
        <v>701</v>
      </c>
      <c r="F631" s="157">
        <v>250000</v>
      </c>
      <c r="H631" s="157">
        <v>250000</v>
      </c>
      <c r="J631" s="157">
        <v>231721.76</v>
      </c>
      <c r="K631" s="383"/>
    </row>
    <row r="632" spans="1:11" s="182" customFormat="1" x14ac:dyDescent="0.15">
      <c r="A632" s="383"/>
      <c r="B632">
        <v>1722000751</v>
      </c>
      <c r="C632"/>
      <c r="D632" s="278" t="s">
        <v>702</v>
      </c>
      <c r="E632" s="183"/>
      <c r="F632" s="157">
        <v>54700</v>
      </c>
      <c r="G632" s="166"/>
      <c r="H632" s="157">
        <v>27500</v>
      </c>
      <c r="I632" s="166"/>
      <c r="J632" s="157">
        <v>49772</v>
      </c>
      <c r="K632" s="383"/>
    </row>
    <row r="633" spans="1:11" ht="13.5" customHeight="1" x14ac:dyDescent="0.15">
      <c r="A633" s="383"/>
      <c r="B633">
        <v>1722000753</v>
      </c>
      <c r="D633" s="278" t="s">
        <v>1515</v>
      </c>
      <c r="F633" s="157">
        <v>275000</v>
      </c>
      <c r="H633" s="157">
        <v>274740</v>
      </c>
      <c r="J633" s="157">
        <v>231395.62</v>
      </c>
      <c r="K633" s="383"/>
    </row>
    <row r="634" spans="1:11" s="182" customFormat="1" ht="13.5" customHeight="1" x14ac:dyDescent="0.15">
      <c r="A634" s="383"/>
      <c r="B634">
        <v>1722000754</v>
      </c>
      <c r="D634" s="278" t="s">
        <v>1801</v>
      </c>
      <c r="E634" s="183"/>
      <c r="F634" s="157">
        <v>0</v>
      </c>
      <c r="G634" s="166"/>
      <c r="H634" s="157">
        <v>0</v>
      </c>
      <c r="I634" s="166"/>
      <c r="J634" s="157">
        <v>468000</v>
      </c>
      <c r="K634" s="383"/>
    </row>
    <row r="635" spans="1:11" s="182" customFormat="1" ht="13.5" customHeight="1" x14ac:dyDescent="0.15">
      <c r="A635" s="383"/>
      <c r="B635">
        <v>1722000755</v>
      </c>
      <c r="D635" s="278" t="s">
        <v>1802</v>
      </c>
      <c r="E635" s="183"/>
      <c r="F635" s="157">
        <v>527000</v>
      </c>
      <c r="G635" s="166"/>
      <c r="H635" s="157">
        <v>250000</v>
      </c>
      <c r="I635" s="166"/>
      <c r="J635" s="157">
        <v>249201.46</v>
      </c>
      <c r="K635" s="383"/>
    </row>
    <row r="636" spans="1:11" s="182" customFormat="1" ht="13.5" customHeight="1" x14ac:dyDescent="0.15">
      <c r="A636" s="383"/>
      <c r="B636">
        <v>1722000756</v>
      </c>
      <c r="D636" s="278" t="s">
        <v>1941</v>
      </c>
      <c r="E636" s="183"/>
      <c r="F636" s="157">
        <v>30000</v>
      </c>
      <c r="G636" s="166"/>
      <c r="H636" s="157">
        <v>39500</v>
      </c>
      <c r="I636" s="166"/>
      <c r="J636" s="157">
        <v>0</v>
      </c>
      <c r="K636" s="383"/>
    </row>
    <row r="637" spans="1:11" s="182" customFormat="1" ht="13.5" customHeight="1" x14ac:dyDescent="0.15">
      <c r="A637" s="383"/>
      <c r="B637">
        <v>1722000757</v>
      </c>
      <c r="D637" s="278" t="s">
        <v>1942</v>
      </c>
      <c r="E637" s="183"/>
      <c r="F637" s="157">
        <v>0</v>
      </c>
      <c r="G637" s="166"/>
      <c r="H637" s="157">
        <v>745350</v>
      </c>
      <c r="I637" s="166"/>
      <c r="J637" s="157">
        <v>995013.01</v>
      </c>
      <c r="K637" s="383"/>
    </row>
    <row r="638" spans="1:11" x14ac:dyDescent="0.15">
      <c r="A638" s="383"/>
      <c r="B638">
        <v>1722000910</v>
      </c>
      <c r="D638" s="278" t="s">
        <v>1148</v>
      </c>
      <c r="F638" s="157">
        <v>0</v>
      </c>
      <c r="H638" s="157">
        <v>34800</v>
      </c>
      <c r="J638" s="157">
        <v>1757156.98</v>
      </c>
      <c r="K638" s="383"/>
    </row>
    <row r="639" spans="1:11" x14ac:dyDescent="0.15">
      <c r="A639" s="383"/>
      <c r="B639">
        <v>1722000930</v>
      </c>
      <c r="D639" s="278" t="s">
        <v>1803</v>
      </c>
      <c r="F639" s="157">
        <v>0</v>
      </c>
      <c r="H639" s="157">
        <v>0</v>
      </c>
      <c r="J639" s="157">
        <v>0</v>
      </c>
      <c r="K639" s="383"/>
    </row>
    <row r="640" spans="1:11" x14ac:dyDescent="0.15">
      <c r="A640" s="383"/>
      <c r="B640">
        <v>1722000980</v>
      </c>
      <c r="D640" s="278" t="s">
        <v>580</v>
      </c>
      <c r="F640" s="157">
        <v>0</v>
      </c>
      <c r="H640" s="157">
        <v>0</v>
      </c>
      <c r="J640" s="157">
        <v>1851.02</v>
      </c>
      <c r="K640" s="383"/>
    </row>
    <row r="641" spans="1:11" x14ac:dyDescent="0.15">
      <c r="A641" s="383"/>
      <c r="B641">
        <v>1722001731</v>
      </c>
      <c r="D641" s="278" t="s">
        <v>1804</v>
      </c>
      <c r="F641" s="157">
        <v>12500</v>
      </c>
      <c r="H641" s="157">
        <v>12311</v>
      </c>
      <c r="J641" s="157">
        <v>13004.72</v>
      </c>
      <c r="K641" s="383"/>
    </row>
    <row r="642" spans="1:11" x14ac:dyDescent="0.15">
      <c r="A642" s="383"/>
      <c r="B642">
        <v>1722002530</v>
      </c>
      <c r="D642" s="278" t="s">
        <v>1456</v>
      </c>
      <c r="F642" s="157">
        <v>125000</v>
      </c>
      <c r="H642" s="157">
        <v>121200</v>
      </c>
      <c r="J642" s="157">
        <v>115558.02</v>
      </c>
      <c r="K642" s="383"/>
    </row>
    <row r="643" spans="1:11" x14ac:dyDescent="0.15">
      <c r="A643" s="383"/>
      <c r="B643">
        <v>1722003530</v>
      </c>
      <c r="D643" s="278" t="s">
        <v>1457</v>
      </c>
      <c r="F643" s="157">
        <v>96860</v>
      </c>
      <c r="H643" s="157">
        <v>98400</v>
      </c>
      <c r="J643" s="157">
        <v>82749.67</v>
      </c>
      <c r="K643" s="383"/>
    </row>
    <row r="644" spans="1:11" x14ac:dyDescent="0.15">
      <c r="A644" s="383"/>
      <c r="B644">
        <v>1722004731</v>
      </c>
      <c r="D644" s="278" t="s">
        <v>1805</v>
      </c>
      <c r="F644" s="157">
        <v>11000</v>
      </c>
      <c r="H644" s="157">
        <v>14096</v>
      </c>
      <c r="J644" s="157">
        <v>9718.41</v>
      </c>
      <c r="K644" s="383"/>
    </row>
    <row r="645" spans="1:11" x14ac:dyDescent="0.15">
      <c r="A645" s="383"/>
      <c r="B645">
        <v>1722005731</v>
      </c>
      <c r="D645" s="278" t="s">
        <v>1806</v>
      </c>
      <c r="F645" s="157">
        <v>12500</v>
      </c>
      <c r="H645" s="157">
        <v>14956</v>
      </c>
      <c r="J645" s="157">
        <v>10280.31</v>
      </c>
      <c r="K645" s="383"/>
    </row>
    <row r="646" spans="1:11" x14ac:dyDescent="0.15">
      <c r="A646" s="383"/>
      <c r="B646">
        <v>1722006731</v>
      </c>
      <c r="D646" s="278" t="s">
        <v>1807</v>
      </c>
      <c r="F646" s="157">
        <v>14150</v>
      </c>
      <c r="H646" s="157">
        <v>13279</v>
      </c>
      <c r="J646" s="157">
        <v>20455.8</v>
      </c>
      <c r="K646" s="383"/>
    </row>
    <row r="647" spans="1:11" s="182" customFormat="1" x14ac:dyDescent="0.15">
      <c r="A647" s="383"/>
      <c r="B647">
        <v>1722008731</v>
      </c>
      <c r="D647" s="278" t="s">
        <v>1330</v>
      </c>
      <c r="E647" s="183"/>
      <c r="F647" s="157">
        <v>57000</v>
      </c>
      <c r="G647" s="166"/>
      <c r="H647" s="157">
        <v>49634</v>
      </c>
      <c r="I647" s="166"/>
      <c r="J647" s="157">
        <v>45032.49</v>
      </c>
      <c r="K647" s="383"/>
    </row>
    <row r="648" spans="1:11" s="182" customFormat="1" x14ac:dyDescent="0.15">
      <c r="A648" s="383"/>
      <c r="B648">
        <v>1722009731</v>
      </c>
      <c r="D648" s="278" t="s">
        <v>1610</v>
      </c>
      <c r="E648" s="183"/>
      <c r="F648" s="157">
        <v>0</v>
      </c>
      <c r="G648" s="166"/>
      <c r="H648" s="157">
        <v>0</v>
      </c>
      <c r="I648" s="166"/>
      <c r="J648" s="157">
        <v>33146.01</v>
      </c>
      <c r="K648" s="383"/>
    </row>
    <row r="649" spans="1:11" x14ac:dyDescent="0.15">
      <c r="A649" s="383"/>
      <c r="B649">
        <v>1722100530</v>
      </c>
      <c r="D649" s="278" t="s">
        <v>1611</v>
      </c>
      <c r="F649" s="157">
        <v>52000</v>
      </c>
      <c r="H649" s="157">
        <v>55562</v>
      </c>
      <c r="J649" s="157">
        <v>55538.25</v>
      </c>
      <c r="K649" s="383"/>
    </row>
    <row r="650" spans="1:11" x14ac:dyDescent="0.15">
      <c r="A650" s="383"/>
      <c r="B650">
        <v>1723000110</v>
      </c>
      <c r="D650" s="278" t="s">
        <v>527</v>
      </c>
      <c r="F650" s="157">
        <v>573068</v>
      </c>
      <c r="H650" s="157">
        <v>604782</v>
      </c>
      <c r="J650" s="157">
        <v>436449.4</v>
      </c>
      <c r="K650" s="383"/>
    </row>
    <row r="651" spans="1:11" x14ac:dyDescent="0.15">
      <c r="A651" s="383"/>
      <c r="B651">
        <v>1723000420</v>
      </c>
      <c r="D651" s="278" t="s">
        <v>712</v>
      </c>
      <c r="F651" s="157">
        <v>15000</v>
      </c>
      <c r="H651" s="157">
        <v>0</v>
      </c>
      <c r="J651" s="157">
        <v>70593.97</v>
      </c>
      <c r="K651" s="383"/>
    </row>
    <row r="652" spans="1:11" x14ac:dyDescent="0.15">
      <c r="A652" s="383"/>
      <c r="B652">
        <v>1723000430</v>
      </c>
      <c r="D652" s="278" t="s">
        <v>1808</v>
      </c>
      <c r="F652" s="157">
        <v>38400</v>
      </c>
      <c r="H652" s="157">
        <v>28725.33</v>
      </c>
      <c r="J652" s="157">
        <v>35479.01</v>
      </c>
      <c r="K652" s="383"/>
    </row>
    <row r="653" spans="1:11" x14ac:dyDescent="0.15">
      <c r="A653" s="383"/>
      <c r="B653">
        <v>1723000731</v>
      </c>
      <c r="D653" s="278" t="s">
        <v>1332</v>
      </c>
      <c r="F653" s="157">
        <v>15567</v>
      </c>
      <c r="H653" s="157">
        <v>16646</v>
      </c>
      <c r="J653" s="157">
        <v>15222.9</v>
      </c>
      <c r="K653" s="383"/>
    </row>
    <row r="654" spans="1:11" x14ac:dyDescent="0.15">
      <c r="A654" s="383"/>
      <c r="B654">
        <v>1723000751</v>
      </c>
      <c r="D654" s="278" t="s">
        <v>1809</v>
      </c>
      <c r="F654" s="157">
        <v>0</v>
      </c>
      <c r="H654" s="157">
        <v>26400</v>
      </c>
      <c r="J654" s="157">
        <v>12932</v>
      </c>
      <c r="K654" s="383"/>
    </row>
    <row r="655" spans="1:11" x14ac:dyDescent="0.15">
      <c r="A655" s="383"/>
      <c r="B655">
        <v>1723000810</v>
      </c>
      <c r="D655" s="278" t="s">
        <v>1810</v>
      </c>
      <c r="F655" s="157">
        <v>300000</v>
      </c>
      <c r="H655" s="157">
        <v>300000</v>
      </c>
      <c r="J655" s="157">
        <v>294004</v>
      </c>
      <c r="K655" s="383"/>
    </row>
    <row r="656" spans="1:11" s="182" customFormat="1" x14ac:dyDescent="0.15">
      <c r="A656" s="383"/>
      <c r="B656">
        <v>1724000731</v>
      </c>
      <c r="D656" s="278" t="s">
        <v>2061</v>
      </c>
      <c r="E656" s="183"/>
      <c r="F656" s="157">
        <v>0</v>
      </c>
      <c r="G656" s="166"/>
      <c r="H656" s="157">
        <v>0</v>
      </c>
      <c r="I656" s="166"/>
      <c r="J656" s="157">
        <v>8616.52</v>
      </c>
      <c r="K656" s="383"/>
    </row>
    <row r="657" spans="1:11" s="182" customFormat="1" x14ac:dyDescent="0.15">
      <c r="A657" s="383"/>
      <c r="B657">
        <v>1724000830</v>
      </c>
      <c r="D657" s="278" t="s">
        <v>718</v>
      </c>
      <c r="E657" s="183"/>
      <c r="F657" s="157">
        <v>0</v>
      </c>
      <c r="G657" s="166"/>
      <c r="H657" s="157">
        <v>0</v>
      </c>
      <c r="I657" s="166"/>
      <c r="J657" s="157">
        <v>409359</v>
      </c>
      <c r="K657" s="383"/>
    </row>
    <row r="658" spans="1:11" s="182" customFormat="1" x14ac:dyDescent="0.15">
      <c r="A658" s="383"/>
      <c r="B658">
        <v>1726100110</v>
      </c>
      <c r="D658" s="278" t="s">
        <v>523</v>
      </c>
      <c r="E658" s="183"/>
      <c r="F658" s="157">
        <v>259197</v>
      </c>
      <c r="G658" s="166"/>
      <c r="H658" s="157">
        <v>248824</v>
      </c>
      <c r="I658" s="166"/>
      <c r="J658" s="157">
        <v>236645.71</v>
      </c>
      <c r="K658" s="383"/>
    </row>
    <row r="659" spans="1:11" ht="14" thickBot="1" x14ac:dyDescent="0.2">
      <c r="A659" s="383"/>
      <c r="D659" s="282"/>
      <c r="F659" s="158"/>
      <c r="H659" s="158"/>
      <c r="J659" s="158"/>
      <c r="K659" s="383"/>
    </row>
    <row r="660" spans="1:11" x14ac:dyDescent="0.15">
      <c r="A660" s="383"/>
      <c r="D660" s="283" t="s">
        <v>1233</v>
      </c>
      <c r="F660" s="178">
        <v>5544506.4000000004</v>
      </c>
      <c r="G660" s="169">
        <v>0</v>
      </c>
      <c r="H660" s="178">
        <v>5452837.3300000001</v>
      </c>
      <c r="I660" s="169">
        <v>0</v>
      </c>
      <c r="J660" s="178">
        <v>8892112.5999999978</v>
      </c>
      <c r="K660" s="383"/>
    </row>
    <row r="661" spans="1:11" s="182" customFormat="1" x14ac:dyDescent="0.15">
      <c r="A661" s="383"/>
      <c r="B661">
        <v>1731000110</v>
      </c>
      <c r="D661" s="278" t="s">
        <v>528</v>
      </c>
      <c r="E661" s="183"/>
      <c r="F661" s="157">
        <v>2702108</v>
      </c>
      <c r="G661" s="169"/>
      <c r="H661" s="157">
        <v>2583120</v>
      </c>
      <c r="I661" s="166"/>
      <c r="J661" s="157">
        <v>2215508.0299999998</v>
      </c>
      <c r="K661" s="383"/>
    </row>
    <row r="662" spans="1:11" s="182" customFormat="1" x14ac:dyDescent="0.15">
      <c r="A662" s="383"/>
      <c r="B662">
        <v>1731000440</v>
      </c>
      <c r="D662" s="278" t="s">
        <v>719</v>
      </c>
      <c r="E662" s="183"/>
      <c r="F662" s="157">
        <v>91884</v>
      </c>
      <c r="G662" s="169"/>
      <c r="H662" s="157">
        <v>72900</v>
      </c>
      <c r="I662" s="166"/>
      <c r="J662" s="157">
        <v>87615</v>
      </c>
      <c r="K662" s="383"/>
    </row>
    <row r="663" spans="1:11" s="182" customFormat="1" x14ac:dyDescent="0.15">
      <c r="A663" s="383"/>
      <c r="B663">
        <v>1731000511</v>
      </c>
      <c r="D663" s="278" t="s">
        <v>721</v>
      </c>
      <c r="E663" s="183"/>
      <c r="F663" s="157">
        <v>6632</v>
      </c>
      <c r="G663" s="169"/>
      <c r="H663" s="157">
        <v>8000</v>
      </c>
      <c r="I663" s="166"/>
      <c r="J663" s="157">
        <v>2588.75</v>
      </c>
      <c r="K663" s="383"/>
    </row>
    <row r="664" spans="1:11" s="182" customFormat="1" x14ac:dyDescent="0.15">
      <c r="A664" s="383"/>
      <c r="B664">
        <v>1731000512</v>
      </c>
      <c r="D664" s="278" t="s">
        <v>722</v>
      </c>
      <c r="E664" s="183"/>
      <c r="F664" s="157">
        <v>1200</v>
      </c>
      <c r="G664" s="169"/>
      <c r="H664" s="157">
        <v>1000</v>
      </c>
      <c r="I664" s="166"/>
      <c r="J664" s="157">
        <v>251</v>
      </c>
      <c r="K664" s="383"/>
    </row>
    <row r="665" spans="1:11" s="182" customFormat="1" x14ac:dyDescent="0.15">
      <c r="A665" s="383"/>
      <c r="B665">
        <v>1731000520</v>
      </c>
      <c r="D665" s="278" t="s">
        <v>571</v>
      </c>
      <c r="E665" s="183"/>
      <c r="F665" s="157">
        <v>0</v>
      </c>
      <c r="G665" s="169"/>
      <c r="H665" s="157">
        <v>4316</v>
      </c>
      <c r="I665" s="166"/>
      <c r="J665" s="157">
        <v>3855.3</v>
      </c>
      <c r="K665" s="383"/>
    </row>
    <row r="666" spans="1:11" s="182" customFormat="1" x14ac:dyDescent="0.15">
      <c r="A666" s="383"/>
      <c r="B666">
        <v>1731000521</v>
      </c>
      <c r="D666" s="278" t="s">
        <v>646</v>
      </c>
      <c r="E666" s="183"/>
      <c r="F666" s="157">
        <v>30000</v>
      </c>
      <c r="G666" s="169"/>
      <c r="H666" s="157">
        <v>34566</v>
      </c>
      <c r="I666" s="166"/>
      <c r="J666" s="157">
        <v>14664</v>
      </c>
      <c r="K666" s="383"/>
    </row>
    <row r="667" spans="1:11" x14ac:dyDescent="0.15">
      <c r="A667" s="383"/>
      <c r="B667">
        <v>1731000522</v>
      </c>
      <c r="D667" s="278" t="s">
        <v>723</v>
      </c>
      <c r="F667" s="157">
        <v>4360</v>
      </c>
      <c r="H667" s="157">
        <v>4360</v>
      </c>
      <c r="J667" s="157">
        <v>2500</v>
      </c>
      <c r="K667" s="383"/>
    </row>
    <row r="668" spans="1:11" x14ac:dyDescent="0.15">
      <c r="A668" s="383"/>
      <c r="B668">
        <v>1731000523</v>
      </c>
      <c r="D668" s="278" t="s">
        <v>724</v>
      </c>
      <c r="F668" s="157">
        <v>8000</v>
      </c>
      <c r="H668" s="157">
        <v>7980</v>
      </c>
      <c r="J668" s="157">
        <v>6470</v>
      </c>
      <c r="K668" s="383"/>
    </row>
    <row r="669" spans="1:11" x14ac:dyDescent="0.15">
      <c r="A669" s="383"/>
      <c r="B669">
        <v>1731000530</v>
      </c>
      <c r="D669" s="278" t="s">
        <v>1811</v>
      </c>
      <c r="F669" s="157">
        <v>72000</v>
      </c>
      <c r="H669" s="157">
        <v>79868</v>
      </c>
      <c r="J669" s="157">
        <v>71681.39</v>
      </c>
      <c r="K669" s="383"/>
    </row>
    <row r="670" spans="1:11" x14ac:dyDescent="0.15">
      <c r="A670" s="383"/>
      <c r="B670">
        <v>1731000550</v>
      </c>
      <c r="D670" s="278" t="s">
        <v>727</v>
      </c>
      <c r="F670" s="157">
        <v>30000</v>
      </c>
      <c r="H670" s="157">
        <v>30000</v>
      </c>
      <c r="J670" s="157">
        <v>9000</v>
      </c>
      <c r="K670" s="383"/>
    </row>
    <row r="671" spans="1:11" x14ac:dyDescent="0.15">
      <c r="A671" s="383"/>
      <c r="B671">
        <v>1731000560</v>
      </c>
      <c r="D671" s="278" t="s">
        <v>728</v>
      </c>
      <c r="F671" s="157">
        <v>9500</v>
      </c>
      <c r="H671" s="157">
        <v>10500</v>
      </c>
      <c r="J671" s="157">
        <v>8719.43</v>
      </c>
      <c r="K671" s="383"/>
    </row>
    <row r="672" spans="1:11" x14ac:dyDescent="0.15">
      <c r="A672" s="383"/>
      <c r="B672">
        <v>1731000570</v>
      </c>
      <c r="D672" s="278" t="s">
        <v>729</v>
      </c>
      <c r="F672" s="157">
        <v>73320</v>
      </c>
      <c r="H672" s="157">
        <v>77596</v>
      </c>
      <c r="J672" s="157">
        <v>75738.03</v>
      </c>
      <c r="K672" s="383"/>
    </row>
    <row r="673" spans="1:11" x14ac:dyDescent="0.15">
      <c r="A673" s="383"/>
      <c r="B673">
        <v>1731000580</v>
      </c>
      <c r="D673" s="278" t="s">
        <v>1235</v>
      </c>
      <c r="F673" s="157">
        <v>1000</v>
      </c>
      <c r="H673" s="157">
        <v>1000</v>
      </c>
      <c r="J673" s="157">
        <v>0</v>
      </c>
      <c r="K673" s="383"/>
    </row>
    <row r="674" spans="1:11" x14ac:dyDescent="0.15">
      <c r="A674" s="383"/>
      <c r="B674">
        <v>1731000581</v>
      </c>
      <c r="D674" s="278" t="s">
        <v>1812</v>
      </c>
      <c r="F674" s="157">
        <v>36000</v>
      </c>
      <c r="H674" s="157">
        <v>37920</v>
      </c>
      <c r="J674" s="157">
        <v>31820.880000000001</v>
      </c>
      <c r="K674" s="383"/>
    </row>
    <row r="675" spans="1:11" x14ac:dyDescent="0.15">
      <c r="A675" s="383"/>
      <c r="B675">
        <v>1731000750</v>
      </c>
      <c r="D675" s="278" t="s">
        <v>730</v>
      </c>
      <c r="F675" s="157">
        <v>150000</v>
      </c>
      <c r="H675" s="157">
        <v>223000</v>
      </c>
      <c r="J675" s="157">
        <v>174998.29</v>
      </c>
      <c r="K675" s="383"/>
    </row>
    <row r="676" spans="1:11" s="182" customFormat="1" x14ac:dyDescent="0.15">
      <c r="A676" s="383"/>
      <c r="B676">
        <v>1731000780</v>
      </c>
      <c r="C676"/>
      <c r="D676" s="278" t="s">
        <v>731</v>
      </c>
      <c r="E676" s="183"/>
      <c r="F676" s="157">
        <v>11500</v>
      </c>
      <c r="G676" s="166"/>
      <c r="H676" s="157">
        <v>12096</v>
      </c>
      <c r="I676" s="166"/>
      <c r="J676" s="157">
        <v>149640.85</v>
      </c>
      <c r="K676" s="383"/>
    </row>
    <row r="677" spans="1:11" x14ac:dyDescent="0.15">
      <c r="A677" s="383"/>
      <c r="B677">
        <v>1731000910</v>
      </c>
      <c r="D677" s="278" t="s">
        <v>716</v>
      </c>
      <c r="F677" s="157">
        <v>0</v>
      </c>
      <c r="H677" s="157">
        <v>0</v>
      </c>
      <c r="J677" s="157">
        <v>0</v>
      </c>
      <c r="K677" s="383"/>
    </row>
    <row r="678" spans="1:11" x14ac:dyDescent="0.15">
      <c r="A678" s="383"/>
      <c r="B678">
        <v>1731000930</v>
      </c>
      <c r="D678" s="278" t="s">
        <v>732</v>
      </c>
      <c r="F678" s="157">
        <v>15000</v>
      </c>
      <c r="H678" s="157">
        <v>18600</v>
      </c>
      <c r="J678" s="157">
        <v>3265.88</v>
      </c>
      <c r="K678" s="383"/>
    </row>
    <row r="679" spans="1:11" x14ac:dyDescent="0.15">
      <c r="A679" s="383"/>
      <c r="B679">
        <v>1731100530</v>
      </c>
      <c r="D679" s="278" t="s">
        <v>1813</v>
      </c>
      <c r="F679" s="157">
        <v>65000</v>
      </c>
      <c r="H679" s="157">
        <v>70982</v>
      </c>
      <c r="J679" s="157">
        <v>65623.72</v>
      </c>
      <c r="K679" s="383"/>
    </row>
    <row r="680" spans="1:11" s="182" customFormat="1" x14ac:dyDescent="0.15">
      <c r="A680" s="383"/>
      <c r="B680">
        <v>1732000110</v>
      </c>
      <c r="D680" s="278" t="s">
        <v>528</v>
      </c>
      <c r="E680" s="183"/>
      <c r="F680" s="157">
        <v>295108</v>
      </c>
      <c r="G680" s="166"/>
      <c r="H680" s="157">
        <v>509909</v>
      </c>
      <c r="I680" s="166"/>
      <c r="J680" s="157">
        <v>471326.57</v>
      </c>
      <c r="K680" s="383"/>
    </row>
    <row r="681" spans="1:11" x14ac:dyDescent="0.15">
      <c r="A681" s="383"/>
      <c r="B681">
        <v>1732000511</v>
      </c>
      <c r="D681" s="278" t="s">
        <v>721</v>
      </c>
      <c r="F681" s="157">
        <v>0</v>
      </c>
      <c r="H681" s="157">
        <v>0</v>
      </c>
      <c r="J681" s="157">
        <v>9.9</v>
      </c>
      <c r="K681" s="383"/>
    </row>
    <row r="682" spans="1:11" s="182" customFormat="1" x14ac:dyDescent="0.15">
      <c r="A682" s="383"/>
      <c r="B682">
        <v>1732000512</v>
      </c>
      <c r="D682" s="278" t="s">
        <v>1814</v>
      </c>
      <c r="E682" s="183"/>
      <c r="F682" s="157">
        <v>0</v>
      </c>
      <c r="G682" s="166"/>
      <c r="H682" s="157">
        <v>500</v>
      </c>
      <c r="I682" s="166"/>
      <c r="J682" s="157">
        <v>305.98</v>
      </c>
      <c r="K682" s="383"/>
    </row>
    <row r="683" spans="1:11" x14ac:dyDescent="0.15">
      <c r="A683" s="383"/>
      <c r="B683">
        <v>1732000530</v>
      </c>
      <c r="D683" s="278" t="s">
        <v>1815</v>
      </c>
      <c r="F683" s="157">
        <v>63000</v>
      </c>
      <c r="H683" s="157">
        <v>66312</v>
      </c>
      <c r="J683" s="157">
        <v>57598.04</v>
      </c>
      <c r="K683" s="383"/>
    </row>
    <row r="684" spans="1:11" s="182" customFormat="1" x14ac:dyDescent="0.15">
      <c r="A684" s="383"/>
      <c r="B684">
        <v>1732000560</v>
      </c>
      <c r="D684" s="278" t="s">
        <v>728</v>
      </c>
      <c r="E684" s="183"/>
      <c r="F684" s="157">
        <v>1000</v>
      </c>
      <c r="G684" s="166"/>
      <c r="H684" s="157">
        <v>1000</v>
      </c>
      <c r="I684" s="166"/>
      <c r="J684" s="157">
        <v>1546.9</v>
      </c>
      <c r="K684" s="383"/>
    </row>
    <row r="685" spans="1:11" x14ac:dyDescent="0.15">
      <c r="A685" s="383"/>
      <c r="B685">
        <v>1732000581</v>
      </c>
      <c r="D685" s="278" t="s">
        <v>1816</v>
      </c>
      <c r="F685" s="157">
        <v>0</v>
      </c>
      <c r="H685" s="157">
        <v>360</v>
      </c>
      <c r="J685" s="157">
        <v>0</v>
      </c>
      <c r="K685" s="383"/>
    </row>
    <row r="686" spans="1:11" x14ac:dyDescent="0.15">
      <c r="A686" s="383"/>
      <c r="B686">
        <v>1732000750</v>
      </c>
      <c r="D686" s="278" t="s">
        <v>730</v>
      </c>
      <c r="F686" s="157">
        <v>0</v>
      </c>
      <c r="H686" s="157">
        <v>0</v>
      </c>
      <c r="J686" s="157">
        <v>4365291.5</v>
      </c>
      <c r="K686" s="383"/>
    </row>
    <row r="687" spans="1:11" s="182" customFormat="1" x14ac:dyDescent="0.15">
      <c r="A687" s="383"/>
      <c r="B687">
        <v>1732000780</v>
      </c>
      <c r="C687"/>
      <c r="D687" s="278" t="s">
        <v>731</v>
      </c>
      <c r="E687" s="183"/>
      <c r="F687" s="157">
        <v>2000</v>
      </c>
      <c r="G687" s="166"/>
      <c r="H687" s="157">
        <v>2704</v>
      </c>
      <c r="I687" s="166"/>
      <c r="J687" s="157">
        <v>50283.51</v>
      </c>
      <c r="K687" s="383"/>
    </row>
    <row r="688" spans="1:11" x14ac:dyDescent="0.15">
      <c r="A688" s="383"/>
      <c r="B688">
        <v>1732000950</v>
      </c>
      <c r="D688" s="278" t="s">
        <v>735</v>
      </c>
      <c r="F688" s="157">
        <v>85000</v>
      </c>
      <c r="H688" s="157">
        <v>100000</v>
      </c>
      <c r="J688" s="157">
        <v>20525.8</v>
      </c>
      <c r="K688" s="383"/>
    </row>
    <row r="689" spans="1:11" x14ac:dyDescent="0.15">
      <c r="A689" s="383"/>
      <c r="B689">
        <v>1733100110</v>
      </c>
      <c r="D689" s="278" t="s">
        <v>529</v>
      </c>
      <c r="F689" s="157">
        <v>2309068</v>
      </c>
      <c r="H689" s="157">
        <v>2395737</v>
      </c>
      <c r="J689" s="157">
        <v>1957743.76</v>
      </c>
      <c r="K689" s="383"/>
    </row>
    <row r="690" spans="1:11" s="182" customFormat="1" x14ac:dyDescent="0.15">
      <c r="A690" s="383"/>
      <c r="B690">
        <v>1733100511</v>
      </c>
      <c r="D690" s="278" t="s">
        <v>1817</v>
      </c>
      <c r="E690" s="183"/>
      <c r="F690" s="157">
        <v>1632</v>
      </c>
      <c r="G690" s="166"/>
      <c r="H690" s="157">
        <v>4300</v>
      </c>
      <c r="I690" s="166"/>
      <c r="J690" s="157">
        <v>1652.33</v>
      </c>
      <c r="K690" s="383"/>
    </row>
    <row r="691" spans="1:11" x14ac:dyDescent="0.15">
      <c r="A691" s="383"/>
      <c r="B691">
        <v>1733100531</v>
      </c>
      <c r="D691" s="278" t="s">
        <v>1818</v>
      </c>
      <c r="F691" s="157">
        <v>0</v>
      </c>
      <c r="H691" s="157">
        <v>0</v>
      </c>
      <c r="J691" s="157">
        <v>0</v>
      </c>
      <c r="K691" s="383"/>
    </row>
    <row r="692" spans="1:11" x14ac:dyDescent="0.15">
      <c r="A692" s="383"/>
      <c r="B692">
        <v>1733100560</v>
      </c>
      <c r="D692" s="278" t="s">
        <v>728</v>
      </c>
      <c r="F692" s="157">
        <v>2000</v>
      </c>
      <c r="H692" s="157">
        <v>2000</v>
      </c>
      <c r="J692" s="157">
        <v>1915.89</v>
      </c>
      <c r="K692" s="383"/>
    </row>
    <row r="693" spans="1:11" x14ac:dyDescent="0.15">
      <c r="A693" s="383"/>
      <c r="B693">
        <v>1733100731</v>
      </c>
      <c r="D693" s="278" t="s">
        <v>1819</v>
      </c>
      <c r="F693" s="157">
        <v>13051</v>
      </c>
      <c r="H693" s="157">
        <v>13135</v>
      </c>
      <c r="J693" s="157">
        <v>10849.55</v>
      </c>
      <c r="K693" s="383"/>
    </row>
    <row r="694" spans="1:11" x14ac:dyDescent="0.15">
      <c r="A694" s="383"/>
      <c r="B694">
        <v>1733100780</v>
      </c>
      <c r="D694" s="278" t="s">
        <v>731</v>
      </c>
      <c r="F694" s="157">
        <v>0</v>
      </c>
      <c r="H694" s="157">
        <v>0</v>
      </c>
      <c r="J694" s="157">
        <v>0</v>
      </c>
      <c r="K694" s="383"/>
    </row>
    <row r="695" spans="1:11" x14ac:dyDescent="0.15">
      <c r="A695" s="383"/>
      <c r="B695">
        <v>1733100930</v>
      </c>
      <c r="D695" s="278" t="s">
        <v>732</v>
      </c>
      <c r="F695" s="157">
        <v>0</v>
      </c>
      <c r="H695" s="157">
        <v>3500</v>
      </c>
      <c r="J695" s="157">
        <v>2550.6</v>
      </c>
      <c r="K695" s="383"/>
    </row>
    <row r="696" spans="1:11" x14ac:dyDescent="0.15">
      <c r="A696" s="383"/>
      <c r="B696">
        <v>1733110530</v>
      </c>
      <c r="D696" s="278" t="s">
        <v>1606</v>
      </c>
      <c r="F696" s="157">
        <v>52500</v>
      </c>
      <c r="H696" s="157">
        <v>51580</v>
      </c>
      <c r="J696" s="157">
        <v>37034.379999999997</v>
      </c>
      <c r="K696" s="383"/>
    </row>
    <row r="697" spans="1:11" x14ac:dyDescent="0.15">
      <c r="A697" s="383"/>
      <c r="B697">
        <v>1733200731</v>
      </c>
      <c r="D697" s="278" t="s">
        <v>1820</v>
      </c>
      <c r="F697" s="157">
        <v>0</v>
      </c>
      <c r="H697" s="157">
        <v>0</v>
      </c>
      <c r="J697" s="157">
        <v>18215</v>
      </c>
      <c r="K697" s="383"/>
    </row>
    <row r="698" spans="1:11" x14ac:dyDescent="0.15">
      <c r="A698" s="383"/>
      <c r="B698">
        <v>1733200780</v>
      </c>
      <c r="D698" s="278" t="s">
        <v>580</v>
      </c>
      <c r="F698" s="157">
        <v>1000</v>
      </c>
      <c r="H698" s="157">
        <v>2000</v>
      </c>
      <c r="J698" s="157">
        <v>2292.35</v>
      </c>
      <c r="K698" s="383"/>
    </row>
    <row r="699" spans="1:11" ht="14" thickBot="1" x14ac:dyDescent="0.2">
      <c r="A699" s="383"/>
      <c r="B699" s="155">
        <v>1733300731</v>
      </c>
      <c r="D699" s="282" t="s">
        <v>2129</v>
      </c>
      <c r="F699" s="158">
        <v>8000</v>
      </c>
      <c r="H699" s="158">
        <v>0</v>
      </c>
      <c r="J699" s="158">
        <v>4749</v>
      </c>
      <c r="K699" s="383"/>
    </row>
    <row r="700" spans="1:11" x14ac:dyDescent="0.15">
      <c r="A700" s="383"/>
      <c r="D700" s="283" t="s">
        <v>1238</v>
      </c>
      <c r="F700" s="178">
        <v>6140863</v>
      </c>
      <c r="G700" s="169">
        <v>0</v>
      </c>
      <c r="H700" s="178">
        <v>6430841</v>
      </c>
      <c r="I700" s="169">
        <v>0</v>
      </c>
      <c r="J700" s="178">
        <v>9927831.6100000013</v>
      </c>
      <c r="K700" s="383"/>
    </row>
    <row r="701" spans="1:11" s="182" customFormat="1" x14ac:dyDescent="0.15">
      <c r="A701" s="383"/>
      <c r="B701" s="182">
        <v>1741000750</v>
      </c>
      <c r="D701" s="278" t="s">
        <v>736</v>
      </c>
      <c r="E701" s="183"/>
      <c r="F701" s="157">
        <v>0</v>
      </c>
      <c r="G701" s="169"/>
      <c r="H701" s="157">
        <v>0</v>
      </c>
      <c r="I701" s="169"/>
      <c r="J701" s="157">
        <v>10</v>
      </c>
      <c r="K701" s="383"/>
    </row>
    <row r="702" spans="1:11" x14ac:dyDescent="0.15">
      <c r="A702" s="383"/>
      <c r="B702">
        <v>1742000440</v>
      </c>
      <c r="D702" s="278" t="s">
        <v>558</v>
      </c>
      <c r="F702" s="157">
        <v>12675</v>
      </c>
      <c r="H702" s="157">
        <v>44337.2</v>
      </c>
      <c r="J702" s="157">
        <v>50748.91</v>
      </c>
      <c r="K702" s="383"/>
    </row>
    <row r="703" spans="1:11" x14ac:dyDescent="0.15">
      <c r="A703" s="383"/>
      <c r="B703">
        <v>1742000720</v>
      </c>
      <c r="D703" s="278" t="s">
        <v>689</v>
      </c>
      <c r="F703" s="157">
        <v>141000</v>
      </c>
      <c r="H703" s="157">
        <v>141956.1</v>
      </c>
      <c r="J703" s="157">
        <v>83942.29</v>
      </c>
      <c r="K703" s="383"/>
    </row>
    <row r="704" spans="1:11" x14ac:dyDescent="0.15">
      <c r="A704" s="383"/>
      <c r="B704">
        <v>1742000750</v>
      </c>
      <c r="D704" s="278" t="s">
        <v>714</v>
      </c>
      <c r="F704" s="157">
        <v>0</v>
      </c>
      <c r="H704" s="157">
        <v>0</v>
      </c>
      <c r="J704" s="157">
        <v>12713.46</v>
      </c>
      <c r="K704" s="383"/>
    </row>
    <row r="705" spans="1:11" x14ac:dyDescent="0.15">
      <c r="A705" s="383"/>
      <c r="B705">
        <v>1742000910</v>
      </c>
      <c r="D705" s="278" t="s">
        <v>738</v>
      </c>
      <c r="F705" s="157">
        <v>0</v>
      </c>
      <c r="H705" s="157">
        <v>27000</v>
      </c>
      <c r="J705" s="157">
        <v>230000</v>
      </c>
      <c r="K705" s="383"/>
    </row>
    <row r="706" spans="1:11" x14ac:dyDescent="0.15">
      <c r="A706" s="383"/>
      <c r="B706">
        <v>1742000930</v>
      </c>
      <c r="D706" s="278" t="s">
        <v>739</v>
      </c>
      <c r="F706" s="157">
        <v>9500</v>
      </c>
      <c r="H706" s="157">
        <v>9360</v>
      </c>
      <c r="J706" s="157">
        <v>1489.6</v>
      </c>
      <c r="K706" s="383"/>
    </row>
    <row r="707" spans="1:11" x14ac:dyDescent="0.15">
      <c r="A707" s="383"/>
      <c r="B707">
        <v>1743000110</v>
      </c>
      <c r="D707" s="278" t="s">
        <v>523</v>
      </c>
      <c r="F707" s="157">
        <v>1753677</v>
      </c>
      <c r="H707" s="157">
        <v>1476416</v>
      </c>
      <c r="J707" s="157">
        <v>1377873.14</v>
      </c>
      <c r="K707" s="383"/>
    </row>
    <row r="708" spans="1:11" x14ac:dyDescent="0.15">
      <c r="A708" s="383"/>
      <c r="B708">
        <v>1743000511</v>
      </c>
      <c r="D708" s="278" t="s">
        <v>1821</v>
      </c>
      <c r="F708" s="157">
        <v>726.4</v>
      </c>
      <c r="H708" s="157">
        <v>1000</v>
      </c>
      <c r="J708" s="157">
        <v>264.3</v>
      </c>
      <c r="K708" s="383"/>
    </row>
    <row r="709" spans="1:11" s="182" customFormat="1" x14ac:dyDescent="0.15">
      <c r="A709" s="383"/>
      <c r="B709">
        <v>1743000581</v>
      </c>
      <c r="D709" s="278" t="s">
        <v>2038</v>
      </c>
      <c r="E709" s="183"/>
      <c r="F709" s="157">
        <v>0</v>
      </c>
      <c r="G709" s="166"/>
      <c r="H709" s="157">
        <v>1512</v>
      </c>
      <c r="I709" s="166"/>
      <c r="J709" s="157">
        <v>0</v>
      </c>
      <c r="K709" s="383"/>
    </row>
    <row r="710" spans="1:11" x14ac:dyDescent="0.15">
      <c r="A710" s="383"/>
      <c r="B710">
        <v>1743000720</v>
      </c>
      <c r="D710" s="278" t="s">
        <v>826</v>
      </c>
      <c r="F710" s="157">
        <v>180000</v>
      </c>
      <c r="H710" s="157">
        <v>217000</v>
      </c>
      <c r="J710" s="157">
        <v>220992.91</v>
      </c>
      <c r="K710" s="383"/>
    </row>
    <row r="711" spans="1:11" x14ac:dyDescent="0.15">
      <c r="A711" s="383"/>
      <c r="B711">
        <v>1743000740</v>
      </c>
      <c r="D711" s="278" t="s">
        <v>737</v>
      </c>
      <c r="F711" s="157">
        <v>5000</v>
      </c>
      <c r="H711" s="157">
        <v>7000</v>
      </c>
      <c r="J711" s="157">
        <v>1445</v>
      </c>
      <c r="K711" s="383"/>
    </row>
    <row r="712" spans="1:11" x14ac:dyDescent="0.15">
      <c r="A712" s="383"/>
      <c r="B712">
        <v>1743000742</v>
      </c>
      <c r="D712" s="278" t="s">
        <v>1163</v>
      </c>
      <c r="F712" s="157">
        <v>8000</v>
      </c>
      <c r="H712" s="157">
        <v>10000</v>
      </c>
      <c r="J712" s="157">
        <v>0</v>
      </c>
      <c r="K712" s="383"/>
    </row>
    <row r="713" spans="1:11" s="182" customFormat="1" x14ac:dyDescent="0.15">
      <c r="A713" s="383"/>
      <c r="B713">
        <v>1743000750</v>
      </c>
      <c r="D713" s="278" t="s">
        <v>714</v>
      </c>
      <c r="E713" s="183"/>
      <c r="F713" s="157">
        <v>70000</v>
      </c>
      <c r="G713" s="166"/>
      <c r="H713" s="157">
        <v>72000</v>
      </c>
      <c r="I713" s="166"/>
      <c r="J713" s="157">
        <v>186613.08</v>
      </c>
      <c r="K713" s="383"/>
    </row>
    <row r="714" spans="1:11" x14ac:dyDescent="0.15">
      <c r="A714" s="383"/>
      <c r="B714">
        <v>1743000751</v>
      </c>
      <c r="D714" s="278" t="s">
        <v>141</v>
      </c>
      <c r="F714" s="157">
        <v>0</v>
      </c>
      <c r="H714" s="157">
        <v>0</v>
      </c>
      <c r="J714" s="157">
        <v>0</v>
      </c>
      <c r="K714" s="383"/>
    </row>
    <row r="715" spans="1:11" x14ac:dyDescent="0.15">
      <c r="A715" s="383"/>
      <c r="B715">
        <v>1743000770</v>
      </c>
      <c r="D715" s="278" t="s">
        <v>740</v>
      </c>
      <c r="F715" s="157">
        <v>4094926.9</v>
      </c>
      <c r="H715" s="157">
        <v>4389500</v>
      </c>
      <c r="J715" s="157">
        <v>3633009.84</v>
      </c>
      <c r="K715" s="383"/>
    </row>
    <row r="716" spans="1:11" s="182" customFormat="1" x14ac:dyDescent="0.15">
      <c r="A716" s="383"/>
      <c r="B716">
        <v>1743000780</v>
      </c>
      <c r="C716"/>
      <c r="D716" s="278" t="s">
        <v>580</v>
      </c>
      <c r="E716" s="183"/>
      <c r="F716" s="157">
        <v>5000</v>
      </c>
      <c r="G716" s="166"/>
      <c r="H716" s="157">
        <v>30000</v>
      </c>
      <c r="I716" s="166"/>
      <c r="J716" s="157">
        <v>0</v>
      </c>
      <c r="K716" s="383"/>
    </row>
    <row r="717" spans="1:11" x14ac:dyDescent="0.15">
      <c r="A717" s="383"/>
      <c r="B717">
        <v>1743001731</v>
      </c>
      <c r="D717" s="278" t="s">
        <v>742</v>
      </c>
      <c r="F717" s="157">
        <v>32000</v>
      </c>
      <c r="H717" s="157">
        <v>30950</v>
      </c>
      <c r="J717" s="157">
        <v>27756.31</v>
      </c>
      <c r="K717" s="383"/>
    </row>
    <row r="718" spans="1:11" x14ac:dyDescent="0.15">
      <c r="A718" s="383"/>
      <c r="B718">
        <v>1743002731</v>
      </c>
      <c r="D718" s="278" t="s">
        <v>743</v>
      </c>
      <c r="F718" s="157">
        <v>48000</v>
      </c>
      <c r="H718" s="157">
        <v>43184</v>
      </c>
      <c r="J718" s="157">
        <v>92898.2</v>
      </c>
      <c r="K718" s="383"/>
    </row>
    <row r="719" spans="1:11" x14ac:dyDescent="0.15">
      <c r="A719" s="383"/>
      <c r="B719">
        <v>1743003731</v>
      </c>
      <c r="D719" s="278" t="s">
        <v>744</v>
      </c>
      <c r="F719" s="157">
        <v>0</v>
      </c>
      <c r="H719" s="157">
        <v>0</v>
      </c>
      <c r="J719" s="157">
        <v>0</v>
      </c>
      <c r="K719" s="383"/>
    </row>
    <row r="720" spans="1:11" x14ac:dyDescent="0.15">
      <c r="A720" s="383"/>
      <c r="B720">
        <v>1743004731</v>
      </c>
      <c r="D720" s="278" t="s">
        <v>745</v>
      </c>
      <c r="F720" s="157">
        <v>1974</v>
      </c>
      <c r="H720" s="157">
        <v>1974</v>
      </c>
      <c r="J720" s="157">
        <v>1421</v>
      </c>
      <c r="K720" s="383"/>
    </row>
    <row r="721" spans="1:11" x14ac:dyDescent="0.15">
      <c r="A721" s="383"/>
      <c r="B721">
        <v>1743005731</v>
      </c>
      <c r="D721" s="278" t="s">
        <v>746</v>
      </c>
      <c r="F721" s="157">
        <v>1974</v>
      </c>
      <c r="H721" s="157">
        <v>1974</v>
      </c>
      <c r="J721" s="157">
        <v>1260</v>
      </c>
      <c r="K721" s="383"/>
    </row>
    <row r="722" spans="1:11" x14ac:dyDescent="0.15">
      <c r="A722" s="383"/>
      <c r="B722">
        <v>1743006731</v>
      </c>
      <c r="D722" s="278" t="s">
        <v>747</v>
      </c>
      <c r="F722" s="157">
        <v>1974</v>
      </c>
      <c r="H722" s="157">
        <v>1974</v>
      </c>
      <c r="J722" s="157">
        <v>2851</v>
      </c>
      <c r="K722" s="383"/>
    </row>
    <row r="723" spans="1:11" x14ac:dyDescent="0.15">
      <c r="A723" s="383"/>
      <c r="B723">
        <v>1743007530</v>
      </c>
      <c r="D723" s="278" t="s">
        <v>1822</v>
      </c>
      <c r="F723" s="157">
        <v>60000</v>
      </c>
      <c r="H723" s="157">
        <v>67446</v>
      </c>
      <c r="J723" s="157">
        <v>54660.81</v>
      </c>
      <c r="K723" s="383"/>
    </row>
    <row r="724" spans="1:11" s="182" customFormat="1" x14ac:dyDescent="0.15">
      <c r="A724" s="383"/>
      <c r="B724">
        <v>1743009731</v>
      </c>
      <c r="D724" s="278" t="s">
        <v>2136</v>
      </c>
      <c r="E724" s="183"/>
      <c r="F724" s="157">
        <v>39900</v>
      </c>
      <c r="G724" s="166"/>
      <c r="H724" s="157">
        <v>90500</v>
      </c>
      <c r="I724" s="166"/>
      <c r="J724" s="157">
        <v>0</v>
      </c>
      <c r="K724" s="383"/>
    </row>
    <row r="725" spans="1:11" x14ac:dyDescent="0.15">
      <c r="A725" s="383"/>
      <c r="B725">
        <v>1743200530</v>
      </c>
      <c r="D725" s="278" t="s">
        <v>118</v>
      </c>
      <c r="F725" s="157">
        <v>43200</v>
      </c>
      <c r="H725" s="157">
        <v>75604</v>
      </c>
      <c r="J725" s="157">
        <v>42813.29</v>
      </c>
      <c r="K725" s="383"/>
    </row>
    <row r="726" spans="1:11" x14ac:dyDescent="0.15">
      <c r="A726" s="383"/>
      <c r="B726">
        <v>1744000910</v>
      </c>
      <c r="D726" s="278" t="s">
        <v>738</v>
      </c>
      <c r="F726" s="157">
        <v>0</v>
      </c>
      <c r="H726" s="157">
        <v>0</v>
      </c>
      <c r="J726" s="157">
        <v>0</v>
      </c>
      <c r="K726" s="383"/>
    </row>
    <row r="727" spans="1:11" x14ac:dyDescent="0.15">
      <c r="A727" s="383"/>
      <c r="B727">
        <v>1744400521</v>
      </c>
      <c r="D727" s="278" t="s">
        <v>646</v>
      </c>
      <c r="F727" s="157">
        <v>0</v>
      </c>
      <c r="H727" s="157">
        <v>0</v>
      </c>
      <c r="J727" s="157">
        <v>0</v>
      </c>
      <c r="K727" s="383"/>
    </row>
    <row r="728" spans="1:11" x14ac:dyDescent="0.15">
      <c r="A728" s="383"/>
      <c r="B728">
        <v>1744400750</v>
      </c>
      <c r="D728" s="278" t="s">
        <v>749</v>
      </c>
      <c r="F728" s="157">
        <v>0</v>
      </c>
      <c r="H728" s="157">
        <v>0</v>
      </c>
      <c r="J728" s="157">
        <v>0</v>
      </c>
      <c r="K728" s="383"/>
    </row>
    <row r="729" spans="1:11" x14ac:dyDescent="0.15">
      <c r="A729" s="383"/>
      <c r="B729">
        <v>1745000810</v>
      </c>
      <c r="D729" s="278" t="s">
        <v>750</v>
      </c>
      <c r="F729" s="157">
        <v>409469</v>
      </c>
      <c r="H729" s="157">
        <v>392665</v>
      </c>
      <c r="J729" s="157">
        <v>375636</v>
      </c>
      <c r="K729" s="383"/>
    </row>
    <row r="730" spans="1:11" x14ac:dyDescent="0.15">
      <c r="A730" s="383"/>
      <c r="B730">
        <v>1746000110</v>
      </c>
      <c r="D730" s="278" t="s">
        <v>523</v>
      </c>
      <c r="F730" s="157">
        <v>970880</v>
      </c>
      <c r="H730" s="157">
        <v>1031391</v>
      </c>
      <c r="J730" s="157">
        <v>723967.69</v>
      </c>
      <c r="K730" s="383"/>
    </row>
    <row r="731" spans="1:11" x14ac:dyDescent="0.15">
      <c r="A731" s="383"/>
      <c r="B731">
        <v>1746000210</v>
      </c>
      <c r="D731" s="278" t="s">
        <v>1823</v>
      </c>
      <c r="F731" s="157">
        <v>201915</v>
      </c>
      <c r="H731" s="157">
        <v>0</v>
      </c>
      <c r="J731" s="157">
        <v>247476.29</v>
      </c>
      <c r="K731" s="383"/>
    </row>
    <row r="732" spans="1:11" s="182" customFormat="1" x14ac:dyDescent="0.15">
      <c r="A732" s="383"/>
      <c r="B732">
        <v>1746000430</v>
      </c>
      <c r="D732" s="278" t="s">
        <v>751</v>
      </c>
      <c r="E732" s="183"/>
      <c r="F732" s="157">
        <v>3850000</v>
      </c>
      <c r="G732" s="166"/>
      <c r="H732" s="157">
        <v>3580500</v>
      </c>
      <c r="I732" s="166"/>
      <c r="J732" s="157">
        <v>3452848.55</v>
      </c>
      <c r="K732" s="383"/>
    </row>
    <row r="733" spans="1:11" s="182" customFormat="1" x14ac:dyDescent="0.15">
      <c r="A733" s="383"/>
      <c r="B733">
        <v>1746000530</v>
      </c>
      <c r="D733" s="278" t="s">
        <v>1509</v>
      </c>
      <c r="E733" s="183"/>
      <c r="F733" s="157">
        <v>59400</v>
      </c>
      <c r="G733" s="166"/>
      <c r="H733" s="157">
        <v>63782</v>
      </c>
      <c r="I733" s="166"/>
      <c r="J733" s="157">
        <v>58316.58</v>
      </c>
      <c r="K733" s="383"/>
    </row>
    <row r="734" spans="1:11" x14ac:dyDescent="0.15">
      <c r="A734" s="383"/>
      <c r="B734">
        <v>1746000720</v>
      </c>
      <c r="D734" s="278" t="s">
        <v>752</v>
      </c>
      <c r="F734" s="157">
        <v>105000</v>
      </c>
      <c r="H734" s="157">
        <v>110000</v>
      </c>
      <c r="J734" s="157">
        <v>107258</v>
      </c>
      <c r="K734" s="383"/>
    </row>
    <row r="735" spans="1:11" x14ac:dyDescent="0.15">
      <c r="A735" s="383"/>
      <c r="B735">
        <v>1746000731</v>
      </c>
      <c r="D735" s="278" t="s">
        <v>753</v>
      </c>
      <c r="F735" s="157">
        <v>1974</v>
      </c>
      <c r="H735" s="157">
        <v>1974</v>
      </c>
      <c r="J735" s="157">
        <v>2155</v>
      </c>
      <c r="K735" s="383"/>
    </row>
    <row r="736" spans="1:11" x14ac:dyDescent="0.15">
      <c r="A736" s="383"/>
      <c r="B736">
        <v>1746000740</v>
      </c>
      <c r="D736" s="278" t="s">
        <v>755</v>
      </c>
      <c r="F736" s="157">
        <v>0</v>
      </c>
      <c r="H736" s="157">
        <v>61442.879999999997</v>
      </c>
      <c r="J736" s="157">
        <v>44816.45</v>
      </c>
      <c r="K736" s="383"/>
    </row>
    <row r="737" spans="1:11" x14ac:dyDescent="0.15">
      <c r="A737" s="383"/>
      <c r="B737">
        <v>1746000750</v>
      </c>
      <c r="D737" s="278" t="s">
        <v>756</v>
      </c>
      <c r="F737" s="157">
        <v>3540000</v>
      </c>
      <c r="H737" s="157">
        <v>3151794</v>
      </c>
      <c r="J737" s="157">
        <v>2378080.23</v>
      </c>
      <c r="K737" s="383"/>
    </row>
    <row r="738" spans="1:11" x14ac:dyDescent="0.15">
      <c r="A738" s="383"/>
      <c r="B738">
        <v>1746000751</v>
      </c>
      <c r="D738" s="278" t="s">
        <v>757</v>
      </c>
      <c r="F738" s="157">
        <v>0</v>
      </c>
      <c r="H738" s="157">
        <v>0</v>
      </c>
      <c r="J738" s="157">
        <v>0</v>
      </c>
      <c r="K738" s="383"/>
    </row>
    <row r="739" spans="1:11" x14ac:dyDescent="0.15">
      <c r="A739" s="383"/>
      <c r="B739">
        <v>1746000752</v>
      </c>
      <c r="D739" s="278" t="s">
        <v>758</v>
      </c>
      <c r="F739" s="157">
        <v>924000</v>
      </c>
      <c r="H739" s="157">
        <v>780000</v>
      </c>
      <c r="J739" s="157">
        <v>634868.14</v>
      </c>
      <c r="K739" s="383"/>
    </row>
    <row r="740" spans="1:11" s="182" customFormat="1" x14ac:dyDescent="0.15">
      <c r="A740" s="383"/>
      <c r="B740">
        <v>1746000754</v>
      </c>
      <c r="C740"/>
      <c r="D740" s="278" t="s">
        <v>145</v>
      </c>
      <c r="E740" s="183"/>
      <c r="F740" s="157">
        <v>0</v>
      </c>
      <c r="G740" s="166"/>
      <c r="H740" s="157">
        <v>0</v>
      </c>
      <c r="I740" s="166"/>
      <c r="J740" s="157">
        <v>74805.119999999995</v>
      </c>
      <c r="K740" s="383"/>
    </row>
    <row r="741" spans="1:11" x14ac:dyDescent="0.15">
      <c r="A741" s="383"/>
      <c r="B741">
        <v>1746000780</v>
      </c>
      <c r="D741" s="278" t="s">
        <v>760</v>
      </c>
      <c r="F741" s="157">
        <v>2000</v>
      </c>
      <c r="H741" s="157">
        <v>2100</v>
      </c>
      <c r="J741" s="157">
        <v>2028.65</v>
      </c>
      <c r="K741" s="383"/>
    </row>
    <row r="742" spans="1:11" x14ac:dyDescent="0.15">
      <c r="A742" s="383"/>
      <c r="B742">
        <v>1746000931</v>
      </c>
      <c r="D742" s="278" t="s">
        <v>761</v>
      </c>
      <c r="F742" s="157">
        <v>0</v>
      </c>
      <c r="H742" s="157">
        <v>122210</v>
      </c>
      <c r="J742" s="157">
        <v>34946</v>
      </c>
      <c r="K742" s="383"/>
    </row>
    <row r="743" spans="1:11" s="182" customFormat="1" x14ac:dyDescent="0.15">
      <c r="A743" s="383"/>
      <c r="B743">
        <v>1746001530</v>
      </c>
      <c r="D743" s="278" t="s">
        <v>1824</v>
      </c>
      <c r="E743" s="183"/>
      <c r="F743" s="157">
        <v>60000</v>
      </c>
      <c r="G743" s="166"/>
      <c r="H743" s="157">
        <v>66752</v>
      </c>
      <c r="I743" s="166"/>
      <c r="J743" s="157">
        <v>45649.19</v>
      </c>
      <c r="K743" s="383"/>
    </row>
    <row r="744" spans="1:11" x14ac:dyDescent="0.15">
      <c r="A744" s="383"/>
      <c r="B744">
        <v>1746001731</v>
      </c>
      <c r="D744" s="278" t="s">
        <v>1612</v>
      </c>
      <c r="F744" s="157">
        <v>0</v>
      </c>
      <c r="H744" s="157">
        <v>0</v>
      </c>
      <c r="J744" s="157">
        <v>0</v>
      </c>
      <c r="K744" s="383"/>
    </row>
    <row r="745" spans="1:11" s="182" customFormat="1" x14ac:dyDescent="0.15">
      <c r="A745" s="383"/>
      <c r="B745">
        <v>1746003731</v>
      </c>
      <c r="D745" s="278" t="s">
        <v>2140</v>
      </c>
      <c r="E745" s="183"/>
      <c r="F745" s="157">
        <v>40254</v>
      </c>
      <c r="G745" s="166"/>
      <c r="H745" s="157">
        <v>35249</v>
      </c>
      <c r="I745" s="166"/>
      <c r="J745" s="157">
        <v>0</v>
      </c>
      <c r="K745" s="383"/>
    </row>
    <row r="746" spans="1:11" x14ac:dyDescent="0.15">
      <c r="A746" s="383"/>
      <c r="B746">
        <v>1746100110</v>
      </c>
      <c r="D746" s="278" t="s">
        <v>1825</v>
      </c>
      <c r="F746" s="157">
        <v>2686988</v>
      </c>
      <c r="H746" s="157">
        <v>3021604</v>
      </c>
      <c r="J746" s="157">
        <v>2642763.9</v>
      </c>
      <c r="K746" s="383"/>
    </row>
    <row r="747" spans="1:11" s="182" customFormat="1" x14ac:dyDescent="0.15">
      <c r="A747" s="383"/>
      <c r="B747">
        <v>1746100210</v>
      </c>
      <c r="D747" s="278" t="s">
        <v>249</v>
      </c>
      <c r="E747" s="183"/>
      <c r="F747" s="157">
        <v>39229</v>
      </c>
      <c r="G747" s="166"/>
      <c r="H747" s="157">
        <v>0</v>
      </c>
      <c r="I747" s="166"/>
      <c r="J747" s="157">
        <v>31135.86</v>
      </c>
      <c r="K747" s="383"/>
    </row>
    <row r="748" spans="1:11" x14ac:dyDescent="0.15">
      <c r="A748" s="383"/>
      <c r="B748">
        <v>1746100511</v>
      </c>
      <c r="D748" s="278" t="s">
        <v>1826</v>
      </c>
      <c r="F748" s="157">
        <v>3000</v>
      </c>
      <c r="H748" s="157">
        <v>3000</v>
      </c>
      <c r="J748" s="157">
        <v>2585.11</v>
      </c>
      <c r="K748" s="383"/>
    </row>
    <row r="749" spans="1:11" s="182" customFormat="1" x14ac:dyDescent="0.15">
      <c r="A749" s="383"/>
      <c r="B749">
        <v>1746100521</v>
      </c>
      <c r="D749" s="278" t="s">
        <v>1827</v>
      </c>
      <c r="E749" s="183"/>
      <c r="F749" s="157">
        <v>0</v>
      </c>
      <c r="G749" s="166"/>
      <c r="H749" s="157">
        <v>0</v>
      </c>
      <c r="I749" s="166"/>
      <c r="J749" s="157">
        <v>35963.31</v>
      </c>
      <c r="K749" s="383"/>
    </row>
    <row r="750" spans="1:11" x14ac:dyDescent="0.15">
      <c r="A750" s="383"/>
      <c r="B750">
        <v>1746100560</v>
      </c>
      <c r="D750" s="278" t="s">
        <v>1828</v>
      </c>
      <c r="F750" s="157">
        <v>1000</v>
      </c>
      <c r="H750" s="157">
        <v>1500</v>
      </c>
      <c r="J750" s="157">
        <v>1492.68</v>
      </c>
      <c r="K750" s="383"/>
    </row>
    <row r="751" spans="1:11" x14ac:dyDescent="0.15">
      <c r="A751" s="383"/>
      <c r="B751">
        <v>1746100581</v>
      </c>
      <c r="D751" s="278" t="s">
        <v>1829</v>
      </c>
      <c r="F751" s="157">
        <v>3180</v>
      </c>
      <c r="H751" s="157">
        <v>5220</v>
      </c>
      <c r="J751" s="157">
        <v>2931.05</v>
      </c>
      <c r="K751" s="383"/>
    </row>
    <row r="752" spans="1:11" s="182" customFormat="1" x14ac:dyDescent="0.15">
      <c r="A752" s="383"/>
      <c r="B752">
        <v>1746100720</v>
      </c>
      <c r="D752" s="278" t="s">
        <v>1830</v>
      </c>
      <c r="E752" s="183"/>
      <c r="F752" s="157">
        <v>260000</v>
      </c>
      <c r="G752" s="166"/>
      <c r="H752" s="157">
        <v>346871.83</v>
      </c>
      <c r="I752" s="166"/>
      <c r="J752" s="157">
        <v>199368.03</v>
      </c>
      <c r="K752" s="383"/>
    </row>
    <row r="753" spans="1:11" x14ac:dyDescent="0.15">
      <c r="A753" s="383"/>
      <c r="B753">
        <v>1746100731</v>
      </c>
      <c r="D753" s="278" t="s">
        <v>764</v>
      </c>
      <c r="F753" s="157">
        <v>45000</v>
      </c>
      <c r="H753" s="157">
        <v>44714</v>
      </c>
      <c r="J753" s="157">
        <v>50462.400000000001</v>
      </c>
      <c r="K753" s="383"/>
    </row>
    <row r="754" spans="1:11" s="182" customFormat="1" x14ac:dyDescent="0.15">
      <c r="A754" s="383"/>
      <c r="B754">
        <v>1746100740</v>
      </c>
      <c r="D754" s="278" t="s">
        <v>1831</v>
      </c>
      <c r="E754" s="183"/>
      <c r="F754" s="157">
        <v>1080</v>
      </c>
      <c r="G754" s="166"/>
      <c r="H754" s="157">
        <v>1100</v>
      </c>
      <c r="I754" s="166"/>
      <c r="J754" s="157">
        <v>21444.53</v>
      </c>
      <c r="K754" s="383"/>
    </row>
    <row r="755" spans="1:11" s="182" customFormat="1" x14ac:dyDescent="0.15">
      <c r="A755" s="383"/>
      <c r="B755">
        <v>1746100750</v>
      </c>
      <c r="D755" s="278" t="s">
        <v>1152</v>
      </c>
      <c r="E755" s="183"/>
      <c r="F755" s="157">
        <v>375000</v>
      </c>
      <c r="G755" s="166"/>
      <c r="H755" s="157">
        <v>298900</v>
      </c>
      <c r="I755" s="166"/>
      <c r="J755" s="157">
        <v>337210.68</v>
      </c>
      <c r="K755" s="383"/>
    </row>
    <row r="756" spans="1:11" x14ac:dyDescent="0.15">
      <c r="A756" s="383"/>
      <c r="B756">
        <v>1746100751</v>
      </c>
      <c r="D756" s="278" t="s">
        <v>1614</v>
      </c>
      <c r="F756" s="157">
        <v>200000</v>
      </c>
      <c r="H756" s="157">
        <v>161500</v>
      </c>
      <c r="J756" s="157">
        <v>69051</v>
      </c>
      <c r="K756" s="383"/>
    </row>
    <row r="757" spans="1:11" x14ac:dyDescent="0.15">
      <c r="A757" s="383"/>
      <c r="B757">
        <v>1746100752</v>
      </c>
      <c r="D757" s="278" t="s">
        <v>1664</v>
      </c>
      <c r="F757" s="157">
        <v>98000</v>
      </c>
      <c r="H757" s="157">
        <v>98375.91</v>
      </c>
      <c r="J757" s="157">
        <v>69471.899999999994</v>
      </c>
      <c r="K757" s="383"/>
    </row>
    <row r="758" spans="1:11" x14ac:dyDescent="0.15">
      <c r="A758" s="383"/>
      <c r="B758">
        <v>1746100780</v>
      </c>
      <c r="D758" s="278" t="s">
        <v>1832</v>
      </c>
      <c r="F758" s="157">
        <v>12000</v>
      </c>
      <c r="H758" s="157">
        <v>12000</v>
      </c>
      <c r="J758" s="157">
        <v>147326.68</v>
      </c>
      <c r="K758" s="383"/>
    </row>
    <row r="759" spans="1:11" s="182" customFormat="1" x14ac:dyDescent="0.15">
      <c r="A759" s="383"/>
      <c r="B759">
        <v>1746101731</v>
      </c>
      <c r="D759" s="278" t="s">
        <v>1506</v>
      </c>
      <c r="E759" s="183"/>
      <c r="F759" s="157">
        <v>38000</v>
      </c>
      <c r="G759" s="166"/>
      <c r="H759" s="157">
        <v>34861</v>
      </c>
      <c r="I759" s="166"/>
      <c r="J759" s="157">
        <v>32444.1</v>
      </c>
      <c r="K759" s="383"/>
    </row>
    <row r="760" spans="1:11" s="182" customFormat="1" x14ac:dyDescent="0.15">
      <c r="A760" s="383"/>
      <c r="B760">
        <v>1746102731</v>
      </c>
      <c r="D760" s="278" t="s">
        <v>1505</v>
      </c>
      <c r="E760" s="183"/>
      <c r="F760" s="157">
        <v>36000</v>
      </c>
      <c r="G760" s="166"/>
      <c r="H760" s="157">
        <v>32074</v>
      </c>
      <c r="I760" s="166"/>
      <c r="J760" s="157">
        <v>38288.449999999997</v>
      </c>
      <c r="K760" s="383"/>
    </row>
    <row r="761" spans="1:11" s="182" customFormat="1" x14ac:dyDescent="0.15">
      <c r="A761" s="383"/>
      <c r="B761">
        <v>1746103731</v>
      </c>
      <c r="C761"/>
      <c r="D761" s="278" t="s">
        <v>1504</v>
      </c>
      <c r="E761" s="183"/>
      <c r="F761" s="157">
        <v>0</v>
      </c>
      <c r="G761" s="166"/>
      <c r="H761" s="157">
        <v>0</v>
      </c>
      <c r="I761" s="166"/>
      <c r="J761" s="157">
        <v>0</v>
      </c>
      <c r="K761" s="383"/>
    </row>
    <row r="762" spans="1:11" x14ac:dyDescent="0.15">
      <c r="A762" s="383"/>
      <c r="B762">
        <v>1746104731</v>
      </c>
      <c r="D762" s="278" t="s">
        <v>1615</v>
      </c>
      <c r="F762" s="157">
        <v>0</v>
      </c>
      <c r="H762" s="157">
        <v>29417</v>
      </c>
      <c r="J762" s="157">
        <v>26774.81</v>
      </c>
      <c r="K762" s="383"/>
    </row>
    <row r="763" spans="1:11" s="182" customFormat="1" x14ac:dyDescent="0.15">
      <c r="A763" s="383"/>
      <c r="B763">
        <v>1746200530</v>
      </c>
      <c r="D763" s="278" t="s">
        <v>1833</v>
      </c>
      <c r="E763" s="183"/>
      <c r="F763" s="157">
        <v>95000</v>
      </c>
      <c r="G763" s="166"/>
      <c r="H763" s="157">
        <v>107986</v>
      </c>
      <c r="I763" s="166"/>
      <c r="J763" s="157">
        <v>12271.49</v>
      </c>
      <c r="K763" s="383"/>
    </row>
    <row r="764" spans="1:11" s="182" customFormat="1" x14ac:dyDescent="0.15">
      <c r="A764" s="383"/>
      <c r="B764">
        <v>1746300731</v>
      </c>
      <c r="D764" s="278" t="s">
        <v>770</v>
      </c>
      <c r="E764" s="183"/>
      <c r="F764" s="157">
        <v>52000</v>
      </c>
      <c r="G764" s="166"/>
      <c r="H764" s="157">
        <v>47253</v>
      </c>
      <c r="I764" s="166"/>
      <c r="J764" s="157">
        <v>56456.2</v>
      </c>
      <c r="K764" s="383"/>
    </row>
    <row r="765" spans="1:11" s="182" customFormat="1" x14ac:dyDescent="0.15">
      <c r="A765" s="383"/>
      <c r="B765">
        <v>1746400731</v>
      </c>
      <c r="D765" s="278" t="s">
        <v>1503</v>
      </c>
      <c r="E765" s="183"/>
      <c r="F765" s="157">
        <v>40000</v>
      </c>
      <c r="G765" s="166"/>
      <c r="H765" s="157">
        <v>39956</v>
      </c>
      <c r="I765" s="166"/>
      <c r="J765" s="157">
        <v>37082.67</v>
      </c>
      <c r="K765" s="383"/>
    </row>
    <row r="766" spans="1:11" s="182" customFormat="1" x14ac:dyDescent="0.15">
      <c r="A766" s="383"/>
      <c r="B766">
        <v>1746500731</v>
      </c>
      <c r="D766" s="278" t="s">
        <v>2052</v>
      </c>
      <c r="E766" s="183"/>
      <c r="F766" s="157">
        <v>0</v>
      </c>
      <c r="G766" s="166"/>
      <c r="H766" s="157">
        <v>85750</v>
      </c>
      <c r="I766" s="166"/>
      <c r="J766" s="157">
        <v>0</v>
      </c>
      <c r="K766" s="383"/>
    </row>
    <row r="767" spans="1:11" s="182" customFormat="1" x14ac:dyDescent="0.15">
      <c r="A767" s="383"/>
      <c r="B767">
        <v>1747000731</v>
      </c>
      <c r="D767" s="278" t="s">
        <v>1616</v>
      </c>
      <c r="E767" s="183"/>
      <c r="F767" s="157">
        <v>0</v>
      </c>
      <c r="G767" s="166"/>
      <c r="H767" s="157">
        <v>0</v>
      </c>
      <c r="I767" s="166"/>
      <c r="J767" s="157">
        <v>0</v>
      </c>
      <c r="K767" s="383"/>
    </row>
    <row r="768" spans="1:11" s="182" customFormat="1" x14ac:dyDescent="0.15">
      <c r="A768" s="383"/>
      <c r="B768">
        <v>1747200110</v>
      </c>
      <c r="D768" s="278" t="s">
        <v>531</v>
      </c>
      <c r="E768" s="183"/>
      <c r="F768" s="157">
        <v>0</v>
      </c>
      <c r="G768" s="166"/>
      <c r="H768" s="157">
        <v>211135</v>
      </c>
      <c r="I768" s="166"/>
      <c r="J768" s="157">
        <v>211057.69</v>
      </c>
      <c r="K768" s="383"/>
    </row>
    <row r="769" spans="1:11" s="182" customFormat="1" x14ac:dyDescent="0.15">
      <c r="A769" s="383"/>
      <c r="B769">
        <v>1747200530</v>
      </c>
      <c r="D769" s="278" t="s">
        <v>1834</v>
      </c>
      <c r="E769" s="183"/>
      <c r="F769" s="157">
        <v>36000</v>
      </c>
      <c r="G769" s="166"/>
      <c r="H769" s="157">
        <v>45844</v>
      </c>
      <c r="I769" s="166"/>
      <c r="J769" s="157">
        <v>45432.84</v>
      </c>
      <c r="K769" s="383"/>
    </row>
    <row r="770" spans="1:11" s="182" customFormat="1" x14ac:dyDescent="0.15">
      <c r="A770" s="383"/>
      <c r="B770">
        <v>1747200780</v>
      </c>
      <c r="D770" s="278" t="s">
        <v>773</v>
      </c>
      <c r="E770" s="183"/>
      <c r="F770" s="157">
        <v>3634400</v>
      </c>
      <c r="G770" s="166"/>
      <c r="H770" s="157">
        <v>3312670</v>
      </c>
      <c r="I770" s="166"/>
      <c r="J770" s="157">
        <v>697930.98</v>
      </c>
      <c r="K770" s="383"/>
    </row>
    <row r="771" spans="1:11" s="182" customFormat="1" x14ac:dyDescent="0.15">
      <c r="A771" s="383"/>
      <c r="B771">
        <v>1747201731</v>
      </c>
      <c r="D771" s="278" t="s">
        <v>1696</v>
      </c>
      <c r="E771" s="183"/>
      <c r="F771" s="157">
        <v>12500</v>
      </c>
      <c r="G771" s="166"/>
      <c r="H771" s="157">
        <v>20033</v>
      </c>
      <c r="I771" s="166"/>
      <c r="J771" s="157">
        <v>16863.580000000002</v>
      </c>
      <c r="K771" s="383"/>
    </row>
    <row r="772" spans="1:11" x14ac:dyDescent="0.15">
      <c r="A772" s="383"/>
      <c r="B772">
        <v>1747202731</v>
      </c>
      <c r="D772" s="278" t="s">
        <v>771</v>
      </c>
      <c r="F772" s="157">
        <v>0</v>
      </c>
      <c r="H772" s="157">
        <v>27034</v>
      </c>
      <c r="J772" s="157">
        <v>16322.05</v>
      </c>
      <c r="K772" s="383"/>
    </row>
    <row r="773" spans="1:11" s="182" customFormat="1" x14ac:dyDescent="0.15">
      <c r="A773" s="383"/>
      <c r="B773">
        <v>1747203731</v>
      </c>
      <c r="D773" s="278" t="s">
        <v>1835</v>
      </c>
      <c r="E773" s="183"/>
      <c r="F773" s="157">
        <v>0</v>
      </c>
      <c r="G773" s="166"/>
      <c r="H773" s="157">
        <v>0</v>
      </c>
      <c r="I773" s="166"/>
      <c r="J773" s="157">
        <v>14229.59</v>
      </c>
      <c r="K773" s="383"/>
    </row>
    <row r="774" spans="1:11" s="182" customFormat="1" x14ac:dyDescent="0.15">
      <c r="A774" s="383"/>
      <c r="B774">
        <v>1747220530</v>
      </c>
      <c r="D774" s="278" t="s">
        <v>1501</v>
      </c>
      <c r="E774" s="183"/>
      <c r="F774" s="157">
        <v>0</v>
      </c>
      <c r="G774" s="166"/>
      <c r="H774" s="157">
        <v>0</v>
      </c>
      <c r="I774" s="166"/>
      <c r="J774" s="157">
        <v>0</v>
      </c>
      <c r="K774" s="383"/>
    </row>
    <row r="775" spans="1:11" s="182" customFormat="1" x14ac:dyDescent="0.15">
      <c r="A775" s="383"/>
      <c r="B775">
        <v>1747300731</v>
      </c>
      <c r="D775" s="278" t="s">
        <v>1836</v>
      </c>
      <c r="E775" s="183"/>
      <c r="F775" s="157">
        <v>10000</v>
      </c>
      <c r="G775" s="166"/>
      <c r="H775" s="157">
        <v>35088</v>
      </c>
      <c r="I775" s="166"/>
      <c r="J775" s="157">
        <v>2837.6</v>
      </c>
      <c r="K775" s="383"/>
    </row>
    <row r="776" spans="1:11" x14ac:dyDescent="0.15">
      <c r="A776" s="383"/>
      <c r="B776">
        <v>1747400731</v>
      </c>
      <c r="D776" s="278" t="s">
        <v>1837</v>
      </c>
      <c r="F776" s="157">
        <v>1558</v>
      </c>
      <c r="H776" s="157">
        <v>1564</v>
      </c>
      <c r="J776" s="157">
        <v>851</v>
      </c>
      <c r="K776" s="383"/>
    </row>
    <row r="777" spans="1:11" s="182" customFormat="1" x14ac:dyDescent="0.15">
      <c r="A777" s="383"/>
      <c r="B777">
        <v>1749000110</v>
      </c>
      <c r="C777"/>
      <c r="D777" s="278" t="s">
        <v>523</v>
      </c>
      <c r="E777" s="183"/>
      <c r="F777" s="157">
        <v>771361</v>
      </c>
      <c r="G777" s="166"/>
      <c r="H777" s="157">
        <v>917946</v>
      </c>
      <c r="I777" s="166"/>
      <c r="J777" s="157">
        <v>901993.55</v>
      </c>
      <c r="K777" s="383"/>
    </row>
    <row r="778" spans="1:11" x14ac:dyDescent="0.15">
      <c r="A778" s="383"/>
      <c r="B778">
        <v>1749000750</v>
      </c>
      <c r="D778" s="278" t="s">
        <v>714</v>
      </c>
      <c r="F778" s="157">
        <v>10000</v>
      </c>
      <c r="H778" s="157">
        <v>180500</v>
      </c>
      <c r="J778" s="157">
        <v>449418.63</v>
      </c>
      <c r="K778" s="383"/>
    </row>
    <row r="779" spans="1:11" s="182" customFormat="1" ht="14" thickBot="1" x14ac:dyDescent="0.2">
      <c r="A779" s="383"/>
      <c r="D779" s="282"/>
      <c r="E779" s="183"/>
      <c r="F779" s="158"/>
      <c r="G779" s="166"/>
      <c r="H779" s="158"/>
      <c r="I779" s="166"/>
      <c r="J779" s="158"/>
      <c r="K779" s="383"/>
    </row>
    <row r="780" spans="1:11" x14ac:dyDescent="0.15">
      <c r="A780" s="383"/>
      <c r="D780" s="283" t="s">
        <v>1239</v>
      </c>
      <c r="F780" s="178">
        <v>25135715.300000001</v>
      </c>
      <c r="G780" s="169">
        <v>0</v>
      </c>
      <c r="H780" s="178">
        <v>25264443.919999998</v>
      </c>
      <c r="I780" s="169">
        <v>0</v>
      </c>
      <c r="J780" s="178">
        <v>20377077.389999993</v>
      </c>
      <c r="K780" s="383"/>
    </row>
    <row r="781" spans="1:11" s="182" customFormat="1" x14ac:dyDescent="0.15">
      <c r="A781" s="383"/>
      <c r="B781">
        <v>1751000530</v>
      </c>
      <c r="C781" s="164"/>
      <c r="D781" s="278" t="s">
        <v>1499</v>
      </c>
      <c r="E781" s="176"/>
      <c r="F781" s="157">
        <v>0</v>
      </c>
      <c r="G781" s="180"/>
      <c r="H781" s="157">
        <v>54660</v>
      </c>
      <c r="I781" s="180"/>
      <c r="J781" s="157">
        <v>94335.5</v>
      </c>
      <c r="K781" s="383"/>
    </row>
    <row r="782" spans="1:11" s="182" customFormat="1" x14ac:dyDescent="0.15">
      <c r="A782" s="383"/>
      <c r="B782">
        <v>1751000750</v>
      </c>
      <c r="C782" s="164"/>
      <c r="D782" s="278" t="s">
        <v>1578</v>
      </c>
      <c r="E782" s="176"/>
      <c r="F782" s="157">
        <v>796280</v>
      </c>
      <c r="G782" s="180"/>
      <c r="H782" s="157">
        <v>758362</v>
      </c>
      <c r="I782" s="180"/>
      <c r="J782" s="157">
        <v>739929.1</v>
      </c>
      <c r="K782" s="383"/>
    </row>
    <row r="783" spans="1:11" x14ac:dyDescent="0.15">
      <c r="A783" s="383"/>
      <c r="B783">
        <v>1751000780</v>
      </c>
      <c r="D783" s="278" t="s">
        <v>776</v>
      </c>
      <c r="F783" s="157">
        <v>950000</v>
      </c>
      <c r="H783" s="157">
        <v>930000</v>
      </c>
      <c r="J783" s="157">
        <v>775680.51</v>
      </c>
      <c r="K783" s="383"/>
    </row>
    <row r="784" spans="1:11" x14ac:dyDescent="0.15">
      <c r="A784" s="383"/>
      <c r="B784">
        <v>1751001731</v>
      </c>
      <c r="D784" s="278" t="s">
        <v>1498</v>
      </c>
      <c r="F784" s="157">
        <v>0</v>
      </c>
      <c r="H784" s="157">
        <v>0</v>
      </c>
      <c r="J784" s="157">
        <v>606.4</v>
      </c>
      <c r="K784" s="383"/>
    </row>
    <row r="785" spans="1:11" x14ac:dyDescent="0.15">
      <c r="A785" s="383"/>
      <c r="B785">
        <v>1751001780</v>
      </c>
      <c r="D785" s="278" t="s">
        <v>778</v>
      </c>
      <c r="F785" s="157">
        <v>300000</v>
      </c>
      <c r="H785" s="157">
        <v>300000</v>
      </c>
      <c r="J785" s="157">
        <v>186263.74</v>
      </c>
      <c r="K785" s="383"/>
    </row>
    <row r="786" spans="1:11" x14ac:dyDescent="0.15">
      <c r="A786" s="383"/>
      <c r="B786">
        <v>1751002731</v>
      </c>
      <c r="D786" s="278" t="s">
        <v>779</v>
      </c>
      <c r="F786" s="157">
        <v>1974</v>
      </c>
      <c r="H786" s="157">
        <v>1974</v>
      </c>
      <c r="J786" s="157">
        <v>1319</v>
      </c>
      <c r="K786" s="383"/>
    </row>
    <row r="787" spans="1:11" x14ac:dyDescent="0.15">
      <c r="A787" s="383"/>
      <c r="B787">
        <v>1751002780</v>
      </c>
      <c r="D787" s="278" t="s">
        <v>780</v>
      </c>
      <c r="F787" s="157">
        <v>910000</v>
      </c>
      <c r="H787" s="157">
        <v>978690</v>
      </c>
      <c r="J787" s="157">
        <v>489696.06</v>
      </c>
      <c r="K787" s="383"/>
    </row>
    <row r="788" spans="1:11" s="182" customFormat="1" x14ac:dyDescent="0.15">
      <c r="A788" s="383"/>
      <c r="B788">
        <v>1751003731</v>
      </c>
      <c r="D788" s="278" t="s">
        <v>781</v>
      </c>
      <c r="E788" s="183"/>
      <c r="F788" s="157">
        <v>1941</v>
      </c>
      <c r="G788" s="166"/>
      <c r="H788" s="157">
        <v>1974</v>
      </c>
      <c r="I788" s="166"/>
      <c r="J788" s="157">
        <v>1087</v>
      </c>
      <c r="K788" s="383"/>
    </row>
    <row r="789" spans="1:11" x14ac:dyDescent="0.15">
      <c r="A789" s="383"/>
      <c r="B789">
        <v>1751003780</v>
      </c>
      <c r="D789" s="278" t="s">
        <v>147</v>
      </c>
      <c r="F789" s="157">
        <v>70000</v>
      </c>
      <c r="H789" s="157">
        <v>35000</v>
      </c>
      <c r="J789" s="157">
        <v>212050.98</v>
      </c>
      <c r="K789" s="383"/>
    </row>
    <row r="790" spans="1:11" s="182" customFormat="1" x14ac:dyDescent="0.15">
      <c r="A790" s="383"/>
      <c r="B790">
        <v>1751003781</v>
      </c>
      <c r="D790" s="278" t="s">
        <v>2154</v>
      </c>
      <c r="E790" s="183"/>
      <c r="F790" s="157">
        <v>2500000</v>
      </c>
      <c r="G790" s="166"/>
      <c r="H790" s="157">
        <v>2450000</v>
      </c>
      <c r="I790" s="166"/>
      <c r="J790" s="157">
        <v>0</v>
      </c>
      <c r="K790" s="383"/>
    </row>
    <row r="791" spans="1:11" x14ac:dyDescent="0.15">
      <c r="A791" s="383"/>
      <c r="B791">
        <v>1751004731</v>
      </c>
      <c r="D791" s="278" t="s">
        <v>1838</v>
      </c>
      <c r="F791" s="157">
        <v>15000</v>
      </c>
      <c r="H791" s="157">
        <v>16461</v>
      </c>
      <c r="J791" s="157">
        <v>16638.919999999998</v>
      </c>
      <c r="K791" s="383"/>
    </row>
    <row r="792" spans="1:11" s="182" customFormat="1" x14ac:dyDescent="0.15">
      <c r="A792" s="383"/>
      <c r="B792">
        <v>1751004780</v>
      </c>
      <c r="D792" s="278" t="s">
        <v>2156</v>
      </c>
      <c r="E792" s="183"/>
      <c r="F792" s="157">
        <v>0</v>
      </c>
      <c r="G792" s="166"/>
      <c r="H792" s="157">
        <v>770000</v>
      </c>
      <c r="I792" s="166"/>
      <c r="J792" s="157">
        <v>0</v>
      </c>
      <c r="K792" s="383"/>
    </row>
    <row r="793" spans="1:11" s="182" customFormat="1" x14ac:dyDescent="0.15">
      <c r="A793" s="383"/>
      <c r="B793">
        <v>1751150811</v>
      </c>
      <c r="C793"/>
      <c r="D793" s="278" t="s">
        <v>78</v>
      </c>
      <c r="E793" s="183"/>
      <c r="F793" s="157">
        <v>270000</v>
      </c>
      <c r="G793" s="166"/>
      <c r="H793" s="157">
        <v>250000</v>
      </c>
      <c r="I793" s="166"/>
      <c r="J793" s="157">
        <v>250000</v>
      </c>
      <c r="K793" s="383"/>
    </row>
    <row r="794" spans="1:11" x14ac:dyDescent="0.15">
      <c r="A794" s="383"/>
      <c r="B794">
        <v>1751150812</v>
      </c>
      <c r="D794" s="278" t="s">
        <v>120</v>
      </c>
      <c r="F794" s="157">
        <v>110000</v>
      </c>
      <c r="H794" s="157">
        <v>110000</v>
      </c>
      <c r="J794" s="157">
        <v>110000</v>
      </c>
      <c r="K794" s="383"/>
    </row>
    <row r="795" spans="1:11" x14ac:dyDescent="0.15">
      <c r="A795" s="383"/>
      <c r="B795">
        <v>1751160780</v>
      </c>
      <c r="D795" s="278" t="s">
        <v>1333</v>
      </c>
      <c r="F795" s="157">
        <v>300000</v>
      </c>
      <c r="H795" s="157">
        <v>300000</v>
      </c>
      <c r="J795" s="157">
        <v>249999.52</v>
      </c>
      <c r="K795" s="383"/>
    </row>
    <row r="796" spans="1:11" x14ac:dyDescent="0.15">
      <c r="A796" s="383"/>
      <c r="B796">
        <v>1751160781</v>
      </c>
      <c r="D796" s="278" t="s">
        <v>1647</v>
      </c>
      <c r="F796" s="157">
        <v>0</v>
      </c>
      <c r="H796" s="157">
        <v>200000</v>
      </c>
      <c r="J796" s="157">
        <v>109950.75</v>
      </c>
      <c r="K796" s="383"/>
    </row>
    <row r="797" spans="1:11" s="182" customFormat="1" x14ac:dyDescent="0.15">
      <c r="A797" s="383"/>
      <c r="B797">
        <v>1752001731</v>
      </c>
      <c r="D797" s="278" t="s">
        <v>148</v>
      </c>
      <c r="E797" s="183"/>
      <c r="F797" s="157">
        <v>0</v>
      </c>
      <c r="G797" s="166"/>
      <c r="H797" s="157">
        <v>0</v>
      </c>
      <c r="I797" s="166"/>
      <c r="J797" s="157">
        <v>0</v>
      </c>
      <c r="K797" s="383"/>
    </row>
    <row r="798" spans="1:11" s="182" customFormat="1" x14ac:dyDescent="0.15">
      <c r="A798" s="383"/>
      <c r="B798">
        <v>1752100810</v>
      </c>
      <c r="D798" s="278" t="s">
        <v>783</v>
      </c>
      <c r="E798" s="183"/>
      <c r="F798" s="157">
        <v>80000</v>
      </c>
      <c r="G798" s="166"/>
      <c r="H798" s="157">
        <v>80000</v>
      </c>
      <c r="I798" s="166"/>
      <c r="J798" s="157">
        <v>61832</v>
      </c>
      <c r="K798" s="383"/>
    </row>
    <row r="799" spans="1:11" ht="14" thickBot="1" x14ac:dyDescent="0.2">
      <c r="A799" s="383"/>
      <c r="D799" s="282"/>
      <c r="F799" s="158"/>
      <c r="H799" s="158"/>
      <c r="J799" s="158"/>
      <c r="K799" s="383"/>
    </row>
    <row r="800" spans="1:11" x14ac:dyDescent="0.15">
      <c r="A800" s="383"/>
      <c r="D800" s="283" t="s">
        <v>1240</v>
      </c>
      <c r="F800" s="178">
        <v>6305195</v>
      </c>
      <c r="G800" s="169">
        <v>0</v>
      </c>
      <c r="H800" s="178">
        <v>7237121</v>
      </c>
      <c r="I800" s="169">
        <v>0</v>
      </c>
      <c r="J800" s="178">
        <v>3299389.4799999995</v>
      </c>
      <c r="K800" s="383"/>
    </row>
    <row r="801" spans="1:11" s="182" customFormat="1" x14ac:dyDescent="0.15">
      <c r="A801" s="383"/>
      <c r="B801">
        <v>1760000910</v>
      </c>
      <c r="D801" s="278" t="s">
        <v>704</v>
      </c>
      <c r="E801" s="183"/>
      <c r="F801" s="157">
        <v>50000</v>
      </c>
      <c r="G801" s="169"/>
      <c r="H801" s="157">
        <v>50000</v>
      </c>
      <c r="I801" s="166"/>
      <c r="J801" s="157">
        <v>250000</v>
      </c>
      <c r="K801" s="383"/>
    </row>
    <row r="802" spans="1:11" x14ac:dyDescent="0.15">
      <c r="A802" s="383"/>
      <c r="B802">
        <v>1761000110</v>
      </c>
      <c r="D802" s="278" t="s">
        <v>532</v>
      </c>
      <c r="F802" s="157">
        <v>430364</v>
      </c>
      <c r="H802" s="157">
        <v>415723</v>
      </c>
      <c r="J802" s="157">
        <v>404960.08</v>
      </c>
      <c r="K802" s="383"/>
    </row>
    <row r="803" spans="1:11" x14ac:dyDescent="0.15">
      <c r="A803" s="383"/>
      <c r="B803">
        <v>1761000210</v>
      </c>
      <c r="D803" s="278" t="s">
        <v>1839</v>
      </c>
      <c r="F803" s="157">
        <v>430455</v>
      </c>
      <c r="H803" s="157">
        <v>622192</v>
      </c>
      <c r="J803" s="157">
        <v>45420.1</v>
      </c>
      <c r="K803" s="383"/>
    </row>
    <row r="804" spans="1:11" s="182" customFormat="1" x14ac:dyDescent="0.15">
      <c r="A804" s="383"/>
      <c r="B804">
        <v>1761000420</v>
      </c>
      <c r="C804"/>
      <c r="D804" s="278" t="s">
        <v>784</v>
      </c>
      <c r="E804" s="183"/>
      <c r="F804" s="157">
        <v>15000</v>
      </c>
      <c r="G804" s="166"/>
      <c r="H804" s="157">
        <v>11250</v>
      </c>
      <c r="I804" s="166"/>
      <c r="J804" s="157">
        <v>13571.8</v>
      </c>
      <c r="K804" s="383"/>
    </row>
    <row r="805" spans="1:11" x14ac:dyDescent="0.15">
      <c r="A805" s="383"/>
      <c r="B805">
        <v>1761000470</v>
      </c>
      <c r="D805" s="278" t="s">
        <v>785</v>
      </c>
      <c r="F805" s="157">
        <v>2000</v>
      </c>
      <c r="H805" s="157">
        <v>1000</v>
      </c>
      <c r="J805" s="157">
        <v>925.5</v>
      </c>
      <c r="K805" s="383"/>
    </row>
    <row r="806" spans="1:11" s="182" customFormat="1" x14ac:dyDescent="0.15">
      <c r="A806" s="383"/>
      <c r="B806">
        <v>1761000511</v>
      </c>
      <c r="D806" s="278" t="s">
        <v>1840</v>
      </c>
      <c r="E806" s="183"/>
      <c r="F806" s="157">
        <v>4179.2</v>
      </c>
      <c r="G806" s="166"/>
      <c r="H806" s="157">
        <v>4800</v>
      </c>
      <c r="I806" s="166"/>
      <c r="J806" s="157">
        <v>2411.4</v>
      </c>
      <c r="K806" s="383"/>
    </row>
    <row r="807" spans="1:11" x14ac:dyDescent="0.15">
      <c r="A807" s="383"/>
      <c r="B807">
        <v>1761000540</v>
      </c>
      <c r="D807" s="278" t="s">
        <v>786</v>
      </c>
      <c r="F807" s="157">
        <v>21690</v>
      </c>
      <c r="H807" s="157">
        <v>28110</v>
      </c>
      <c r="J807" s="157">
        <v>27717.01</v>
      </c>
      <c r="K807" s="383"/>
    </row>
    <row r="808" spans="1:11" x14ac:dyDescent="0.15">
      <c r="A808" s="383"/>
      <c r="B808">
        <v>1761000560</v>
      </c>
      <c r="D808" s="278" t="s">
        <v>1841</v>
      </c>
      <c r="F808" s="157">
        <v>0</v>
      </c>
      <c r="H808" s="157">
        <v>0</v>
      </c>
      <c r="J808" s="157">
        <v>0</v>
      </c>
      <c r="K808" s="383"/>
    </row>
    <row r="809" spans="1:11" x14ac:dyDescent="0.15">
      <c r="A809" s="383"/>
      <c r="B809">
        <v>1761000570</v>
      </c>
      <c r="D809" s="278" t="s">
        <v>1842</v>
      </c>
      <c r="F809" s="157">
        <v>0</v>
      </c>
      <c r="H809" s="157">
        <v>2404.8000000000002</v>
      </c>
      <c r="J809" s="157">
        <v>2500.77</v>
      </c>
      <c r="K809" s="383"/>
    </row>
    <row r="810" spans="1:11" x14ac:dyDescent="0.15">
      <c r="A810" s="383"/>
      <c r="B810">
        <v>1761000581</v>
      </c>
      <c r="D810" s="278" t="s">
        <v>1843</v>
      </c>
      <c r="F810" s="157">
        <v>1200</v>
      </c>
      <c r="H810" s="157">
        <v>1200</v>
      </c>
      <c r="J810" s="157">
        <v>1081.58</v>
      </c>
      <c r="K810" s="383"/>
    </row>
    <row r="811" spans="1:11" s="182" customFormat="1" x14ac:dyDescent="0.15">
      <c r="A811" s="383"/>
      <c r="B811">
        <v>1761000720</v>
      </c>
      <c r="D811" s="278" t="s">
        <v>2062</v>
      </c>
      <c r="E811" s="183"/>
      <c r="F811" s="157">
        <v>0</v>
      </c>
      <c r="G811" s="166"/>
      <c r="H811" s="157">
        <v>0</v>
      </c>
      <c r="I811" s="166"/>
      <c r="J811" s="157">
        <v>192.6</v>
      </c>
      <c r="K811" s="383"/>
    </row>
    <row r="812" spans="1:11" s="182" customFormat="1" x14ac:dyDescent="0.15">
      <c r="A812" s="383"/>
      <c r="B812">
        <v>1761000930</v>
      </c>
      <c r="D812" s="278" t="s">
        <v>788</v>
      </c>
      <c r="E812" s="183"/>
      <c r="F812" s="157">
        <v>4500</v>
      </c>
      <c r="G812" s="166"/>
      <c r="H812" s="157">
        <v>2550</v>
      </c>
      <c r="I812" s="166"/>
      <c r="J812" s="157">
        <v>560.41999999999996</v>
      </c>
      <c r="K812" s="383"/>
    </row>
    <row r="813" spans="1:11" x14ac:dyDescent="0.15">
      <c r="A813" s="383"/>
      <c r="B813">
        <v>1764000110</v>
      </c>
      <c r="D813" s="278" t="s">
        <v>523</v>
      </c>
      <c r="F813" s="157">
        <v>83023</v>
      </c>
      <c r="H813" s="157">
        <v>85585</v>
      </c>
      <c r="J813" s="157">
        <v>83722.559999999998</v>
      </c>
      <c r="K813" s="383"/>
    </row>
    <row r="814" spans="1:11" x14ac:dyDescent="0.15">
      <c r="A814" s="383"/>
      <c r="B814">
        <v>1764000750</v>
      </c>
      <c r="D814" s="278" t="s">
        <v>1844</v>
      </c>
      <c r="F814" s="157">
        <v>318708</v>
      </c>
      <c r="H814" s="157">
        <v>318708</v>
      </c>
      <c r="J814" s="157">
        <v>264006</v>
      </c>
      <c r="K814" s="383"/>
    </row>
    <row r="815" spans="1:11" s="182" customFormat="1" x14ac:dyDescent="0.15">
      <c r="A815" s="383"/>
      <c r="B815">
        <v>1764000783</v>
      </c>
      <c r="D815" s="278" t="s">
        <v>1462</v>
      </c>
      <c r="E815" s="183"/>
      <c r="F815" s="157">
        <v>300000</v>
      </c>
      <c r="G815" s="166"/>
      <c r="H815" s="157">
        <v>300000</v>
      </c>
      <c r="I815" s="166"/>
      <c r="J815" s="157">
        <v>0</v>
      </c>
      <c r="K815" s="383"/>
    </row>
    <row r="816" spans="1:11" s="182" customFormat="1" x14ac:dyDescent="0.15">
      <c r="A816" s="383"/>
      <c r="B816">
        <v>1765100810</v>
      </c>
      <c r="D816" s="278" t="s">
        <v>1845</v>
      </c>
      <c r="E816" s="183"/>
      <c r="F816" s="157">
        <v>126000</v>
      </c>
      <c r="G816" s="166"/>
      <c r="H816" s="157">
        <v>126000</v>
      </c>
      <c r="I816" s="166"/>
      <c r="J816" s="157">
        <v>126004</v>
      </c>
      <c r="K816" s="383"/>
    </row>
    <row r="817" spans="1:11" x14ac:dyDescent="0.15">
      <c r="A817" s="383"/>
      <c r="B817">
        <v>1766000810</v>
      </c>
      <c r="D817" s="278" t="s">
        <v>797</v>
      </c>
      <c r="F817" s="157">
        <v>616000</v>
      </c>
      <c r="H817" s="157">
        <v>654000</v>
      </c>
      <c r="J817" s="157">
        <v>653859.6</v>
      </c>
      <c r="K817" s="383"/>
    </row>
    <row r="818" spans="1:11" x14ac:dyDescent="0.15">
      <c r="A818" s="383"/>
      <c r="B818">
        <v>1767000440</v>
      </c>
      <c r="D818" s="278" t="s">
        <v>558</v>
      </c>
      <c r="F818" s="157">
        <v>859331</v>
      </c>
      <c r="H818" s="157">
        <v>1200229.07</v>
      </c>
      <c r="J818" s="157">
        <v>1371316</v>
      </c>
      <c r="K818" s="383"/>
    </row>
    <row r="819" spans="1:11" x14ac:dyDescent="0.15">
      <c r="A819" s="383"/>
      <c r="B819">
        <v>1769000781</v>
      </c>
      <c r="D819" s="278" t="s">
        <v>265</v>
      </c>
      <c r="F819" s="157">
        <v>23000</v>
      </c>
      <c r="H819" s="157">
        <v>27000</v>
      </c>
      <c r="J819" s="157">
        <v>23868</v>
      </c>
      <c r="K819" s="383"/>
    </row>
    <row r="820" spans="1:11" x14ac:dyDescent="0.15">
      <c r="A820" s="383"/>
      <c r="B820">
        <v>1769000785</v>
      </c>
      <c r="D820" s="278" t="s">
        <v>801</v>
      </c>
      <c r="F820" s="157">
        <v>130000</v>
      </c>
      <c r="H820" s="157">
        <v>100000</v>
      </c>
      <c r="J820" s="157">
        <v>131880</v>
      </c>
      <c r="K820" s="383"/>
    </row>
    <row r="821" spans="1:11" s="182" customFormat="1" x14ac:dyDescent="0.15">
      <c r="A821" s="383"/>
      <c r="B821">
        <v>1769000810</v>
      </c>
      <c r="C821" s="155"/>
      <c r="D821" s="278" t="s">
        <v>1552</v>
      </c>
      <c r="E821" s="183"/>
      <c r="F821" s="157">
        <v>240000</v>
      </c>
      <c r="G821" s="166"/>
      <c r="H821" s="157">
        <v>214000</v>
      </c>
      <c r="I821" s="166"/>
      <c r="J821" s="157">
        <v>64000</v>
      </c>
      <c r="K821" s="383"/>
    </row>
    <row r="822" spans="1:11" ht="14" thickBot="1" x14ac:dyDescent="0.2">
      <c r="A822" s="383"/>
      <c r="D822" s="282"/>
      <c r="F822" s="158"/>
      <c r="G822" s="183"/>
      <c r="H822" s="158"/>
      <c r="I822" s="205"/>
      <c r="J822" s="158"/>
      <c r="K822" s="383"/>
    </row>
    <row r="823" spans="1:11" x14ac:dyDescent="0.15">
      <c r="A823" s="383"/>
      <c r="D823" s="283" t="s">
        <v>1241</v>
      </c>
      <c r="F823" s="178">
        <v>3655450.2</v>
      </c>
      <c r="G823" s="169">
        <v>0</v>
      </c>
      <c r="H823" s="178">
        <v>4164751.87</v>
      </c>
      <c r="I823" s="169">
        <v>0</v>
      </c>
      <c r="J823" s="178">
        <v>3467997.42</v>
      </c>
      <c r="K823" s="383"/>
    </row>
    <row r="824" spans="1:11" s="182" customFormat="1" x14ac:dyDescent="0.15">
      <c r="A824" s="383"/>
      <c r="B824">
        <v>1772000430</v>
      </c>
      <c r="D824" s="278" t="s">
        <v>1846</v>
      </c>
      <c r="E824" s="183"/>
      <c r="F824" s="157">
        <v>0</v>
      </c>
      <c r="G824" s="169"/>
      <c r="H824" s="157">
        <v>0</v>
      </c>
      <c r="I824" s="169"/>
      <c r="J824" s="157">
        <v>0</v>
      </c>
      <c r="K824" s="383"/>
    </row>
    <row r="825" spans="1:11" x14ac:dyDescent="0.15">
      <c r="A825" s="383"/>
      <c r="B825">
        <v>1772000511</v>
      </c>
      <c r="D825" s="278" t="s">
        <v>802</v>
      </c>
      <c r="F825" s="157">
        <v>526.4</v>
      </c>
      <c r="H825" s="157">
        <v>1000</v>
      </c>
      <c r="J825" s="157">
        <v>515.61</v>
      </c>
      <c r="K825" s="383"/>
    </row>
    <row r="826" spans="1:11" s="182" customFormat="1" x14ac:dyDescent="0.15">
      <c r="A826" s="383"/>
      <c r="B826">
        <v>1772000530</v>
      </c>
      <c r="D826" s="278" t="s">
        <v>1847</v>
      </c>
      <c r="E826" s="183"/>
      <c r="F826" s="157">
        <v>57000</v>
      </c>
      <c r="G826" s="166"/>
      <c r="H826" s="157">
        <v>67602</v>
      </c>
      <c r="I826" s="166"/>
      <c r="J826" s="157">
        <v>70115.58</v>
      </c>
      <c r="K826" s="383"/>
    </row>
    <row r="827" spans="1:11" s="182" customFormat="1" x14ac:dyDescent="0.15">
      <c r="A827" s="383"/>
      <c r="B827">
        <v>1772000550</v>
      </c>
      <c r="D827" s="278" t="s">
        <v>1242</v>
      </c>
      <c r="E827" s="183"/>
      <c r="F827" s="157">
        <v>0</v>
      </c>
      <c r="G827" s="166"/>
      <c r="H827" s="157">
        <v>130000</v>
      </c>
      <c r="I827" s="166"/>
      <c r="J827" s="157">
        <v>245371.58</v>
      </c>
      <c r="K827" s="383"/>
    </row>
    <row r="828" spans="1:11" x14ac:dyDescent="0.15">
      <c r="A828" s="383"/>
      <c r="B828">
        <v>1772000561</v>
      </c>
      <c r="D828" s="278" t="s">
        <v>664</v>
      </c>
      <c r="F828" s="157">
        <v>1500</v>
      </c>
      <c r="H828" s="157">
        <v>1500</v>
      </c>
      <c r="J828" s="157">
        <v>926.63</v>
      </c>
      <c r="K828" s="383"/>
    </row>
    <row r="829" spans="1:11" s="182" customFormat="1" x14ac:dyDescent="0.15">
      <c r="A829" s="383"/>
      <c r="B829">
        <v>1772000581</v>
      </c>
      <c r="D829" s="278" t="s">
        <v>1848</v>
      </c>
      <c r="E829" s="183"/>
      <c r="F829" s="157">
        <v>1500</v>
      </c>
      <c r="G829" s="166"/>
      <c r="H829" s="157">
        <v>1660</v>
      </c>
      <c r="I829" s="166"/>
      <c r="J829" s="157">
        <v>0</v>
      </c>
      <c r="K829" s="383"/>
    </row>
    <row r="830" spans="1:11" x14ac:dyDescent="0.15">
      <c r="A830" s="383"/>
      <c r="B830">
        <v>1772000731</v>
      </c>
      <c r="D830" s="278" t="s">
        <v>1849</v>
      </c>
      <c r="F830" s="157">
        <v>0</v>
      </c>
      <c r="H830" s="157">
        <v>0</v>
      </c>
      <c r="J830" s="157">
        <v>0</v>
      </c>
      <c r="K830" s="383"/>
    </row>
    <row r="831" spans="1:11" x14ac:dyDescent="0.15">
      <c r="A831" s="383"/>
      <c r="B831">
        <v>1772000750</v>
      </c>
      <c r="D831" s="278" t="s">
        <v>714</v>
      </c>
      <c r="F831" s="157">
        <v>50000</v>
      </c>
      <c r="H831" s="157">
        <v>0</v>
      </c>
      <c r="J831" s="157">
        <v>0</v>
      </c>
      <c r="K831" s="383"/>
    </row>
    <row r="832" spans="1:11" x14ac:dyDescent="0.15">
      <c r="A832" s="383"/>
      <c r="B832">
        <v>1772000780</v>
      </c>
      <c r="D832" s="278" t="s">
        <v>580</v>
      </c>
      <c r="F832" s="157">
        <v>2500</v>
      </c>
      <c r="H832" s="157">
        <v>122000</v>
      </c>
      <c r="J832" s="157">
        <v>6149.7</v>
      </c>
      <c r="K832" s="383"/>
    </row>
    <row r="833" spans="1:11" ht="14" thickBot="1" x14ac:dyDescent="0.2">
      <c r="A833" s="383"/>
      <c r="B833">
        <v>1772000910</v>
      </c>
      <c r="D833" s="279" t="s">
        <v>1850</v>
      </c>
      <c r="F833" s="158">
        <v>103000</v>
      </c>
      <c r="H833" s="158">
        <v>103000</v>
      </c>
      <c r="J833" s="158">
        <v>204838</v>
      </c>
      <c r="K833" s="383"/>
    </row>
    <row r="834" spans="1:11" x14ac:dyDescent="0.15">
      <c r="A834" s="383"/>
      <c r="D834" s="283" t="s">
        <v>1243</v>
      </c>
      <c r="F834" s="178">
        <v>216026.4</v>
      </c>
      <c r="G834" s="169">
        <v>0</v>
      </c>
      <c r="H834" s="178">
        <v>426762</v>
      </c>
      <c r="I834" s="169">
        <v>0</v>
      </c>
      <c r="J834" s="178">
        <v>527917.10000000009</v>
      </c>
      <c r="K834" s="383"/>
    </row>
    <row r="835" spans="1:11" x14ac:dyDescent="0.15">
      <c r="A835" s="383"/>
      <c r="B835">
        <v>1781000110</v>
      </c>
      <c r="D835" s="278" t="s">
        <v>523</v>
      </c>
      <c r="F835" s="157">
        <v>1300559</v>
      </c>
      <c r="H835" s="157">
        <v>1403045</v>
      </c>
      <c r="J835" s="157">
        <v>1261204.3700000001</v>
      </c>
      <c r="K835" s="383"/>
    </row>
    <row r="836" spans="1:11" x14ac:dyDescent="0.15">
      <c r="A836" s="383"/>
      <c r="B836">
        <v>1781000210</v>
      </c>
      <c r="D836" s="278" t="s">
        <v>533</v>
      </c>
      <c r="F836" s="157">
        <v>869134</v>
      </c>
      <c r="H836" s="157">
        <v>800000</v>
      </c>
      <c r="J836" s="157">
        <v>0</v>
      </c>
      <c r="K836" s="383"/>
    </row>
    <row r="837" spans="1:11" s="182" customFormat="1" x14ac:dyDescent="0.15">
      <c r="A837" s="383"/>
      <c r="B837">
        <v>1781000521</v>
      </c>
      <c r="D837" s="278" t="s">
        <v>806</v>
      </c>
      <c r="E837" s="183"/>
      <c r="F837" s="157">
        <v>0</v>
      </c>
      <c r="G837" s="166"/>
      <c r="H837" s="157">
        <v>0</v>
      </c>
      <c r="I837" s="166"/>
      <c r="J837" s="157">
        <v>12732</v>
      </c>
      <c r="K837" s="383"/>
    </row>
    <row r="838" spans="1:11" x14ac:dyDescent="0.15">
      <c r="A838" s="383"/>
      <c r="B838">
        <v>1781000560</v>
      </c>
      <c r="D838" s="278" t="s">
        <v>807</v>
      </c>
      <c r="F838" s="157">
        <v>2000</v>
      </c>
      <c r="H838" s="157">
        <v>1250</v>
      </c>
      <c r="J838" s="157">
        <v>933.78</v>
      </c>
      <c r="K838" s="383"/>
    </row>
    <row r="839" spans="1:11" x14ac:dyDescent="0.15">
      <c r="A839" s="383"/>
      <c r="B839">
        <v>1781000570</v>
      </c>
      <c r="D839" s="278" t="s">
        <v>1851</v>
      </c>
      <c r="F839" s="157">
        <v>237840</v>
      </c>
      <c r="H839" s="157">
        <v>229077.58</v>
      </c>
      <c r="J839" s="157">
        <v>165366.45000000001</v>
      </c>
      <c r="K839" s="383"/>
    </row>
    <row r="840" spans="1:11" s="182" customFormat="1" x14ac:dyDescent="0.15">
      <c r="A840" s="383"/>
      <c r="B840">
        <v>1781000581</v>
      </c>
      <c r="D840" s="278" t="s">
        <v>1852</v>
      </c>
      <c r="E840" s="183"/>
      <c r="F840" s="157">
        <v>3120</v>
      </c>
      <c r="G840" s="166"/>
      <c r="H840" s="157">
        <v>3240</v>
      </c>
      <c r="I840" s="166"/>
      <c r="J840" s="157">
        <v>2855.59</v>
      </c>
      <c r="K840" s="383"/>
    </row>
    <row r="841" spans="1:11" x14ac:dyDescent="0.15">
      <c r="A841" s="383"/>
      <c r="B841">
        <v>1781000752</v>
      </c>
      <c r="D841" s="278" t="s">
        <v>259</v>
      </c>
      <c r="F841" s="157">
        <v>138000</v>
      </c>
      <c r="H841" s="157">
        <v>80000</v>
      </c>
      <c r="J841" s="157">
        <v>7516.64</v>
      </c>
      <c r="K841" s="383"/>
    </row>
    <row r="842" spans="1:11" s="182" customFormat="1" x14ac:dyDescent="0.15">
      <c r="A842" s="383"/>
      <c r="B842">
        <v>1781000753</v>
      </c>
      <c r="D842" s="278" t="s">
        <v>1640</v>
      </c>
      <c r="E842" s="183"/>
      <c r="F842" s="157">
        <v>37000</v>
      </c>
      <c r="G842" s="166"/>
      <c r="H842" s="157">
        <v>50000</v>
      </c>
      <c r="I842" s="166"/>
      <c r="J842" s="157">
        <v>56473.51</v>
      </c>
      <c r="K842" s="383"/>
    </row>
    <row r="843" spans="1:11" s="182" customFormat="1" x14ac:dyDescent="0.15">
      <c r="A843" s="383"/>
      <c r="B843">
        <v>1781000930</v>
      </c>
      <c r="D843" s="278" t="s">
        <v>961</v>
      </c>
      <c r="E843" s="183"/>
      <c r="F843" s="157">
        <v>3000</v>
      </c>
      <c r="G843" s="166"/>
      <c r="H843" s="157">
        <v>0</v>
      </c>
      <c r="I843" s="166"/>
      <c r="J843" s="157">
        <v>292.5</v>
      </c>
      <c r="K843" s="383"/>
    </row>
    <row r="844" spans="1:11" x14ac:dyDescent="0.15">
      <c r="A844" s="383"/>
      <c r="B844">
        <v>1781003731</v>
      </c>
      <c r="D844" s="278" t="s">
        <v>811</v>
      </c>
      <c r="F844" s="157">
        <v>1941</v>
      </c>
      <c r="H844" s="157">
        <v>1974</v>
      </c>
      <c r="J844" s="157">
        <v>1204</v>
      </c>
      <c r="K844" s="383"/>
    </row>
    <row r="845" spans="1:11" x14ac:dyDescent="0.15">
      <c r="A845" s="383"/>
      <c r="B845">
        <v>1781004731</v>
      </c>
      <c r="D845" s="278" t="s">
        <v>1853</v>
      </c>
      <c r="F845" s="157">
        <v>1941</v>
      </c>
      <c r="H845" s="157">
        <v>1974</v>
      </c>
      <c r="J845" s="157">
        <v>1087</v>
      </c>
      <c r="K845" s="383"/>
    </row>
    <row r="846" spans="1:11" x14ac:dyDescent="0.15">
      <c r="A846" s="383"/>
      <c r="B846">
        <v>1781005731</v>
      </c>
      <c r="D846" s="278" t="s">
        <v>124</v>
      </c>
      <c r="F846" s="157">
        <v>1941</v>
      </c>
      <c r="H846" s="157">
        <v>1974</v>
      </c>
      <c r="J846" s="157">
        <v>1087</v>
      </c>
      <c r="K846" s="383"/>
    </row>
    <row r="847" spans="1:11" x14ac:dyDescent="0.15">
      <c r="A847" s="383"/>
      <c r="B847">
        <v>1781006731</v>
      </c>
      <c r="D847" s="278" t="s">
        <v>1854</v>
      </c>
      <c r="F847" s="157">
        <v>1941</v>
      </c>
      <c r="H847" s="157">
        <v>1974</v>
      </c>
      <c r="J847" s="157">
        <v>1087</v>
      </c>
      <c r="K847" s="383"/>
    </row>
    <row r="848" spans="1:11" s="182" customFormat="1" x14ac:dyDescent="0.15">
      <c r="A848" s="383"/>
      <c r="B848">
        <v>1781007731</v>
      </c>
      <c r="D848" s="278" t="s">
        <v>1855</v>
      </c>
      <c r="E848" s="183"/>
      <c r="F848" s="157">
        <v>1938</v>
      </c>
      <c r="G848" s="166"/>
      <c r="H848" s="157">
        <v>1974</v>
      </c>
      <c r="I848" s="166"/>
      <c r="J848" s="157">
        <v>1085</v>
      </c>
      <c r="K848" s="383"/>
    </row>
    <row r="849" spans="1:11" s="182" customFormat="1" x14ac:dyDescent="0.15">
      <c r="A849" s="383"/>
      <c r="B849">
        <v>1781008731</v>
      </c>
      <c r="D849" s="278" t="s">
        <v>1856</v>
      </c>
      <c r="E849" s="183"/>
      <c r="F849" s="157">
        <v>25000</v>
      </c>
      <c r="G849" s="166"/>
      <c r="H849" s="157">
        <v>16000</v>
      </c>
      <c r="I849" s="166"/>
      <c r="J849" s="157">
        <v>14201</v>
      </c>
      <c r="K849" s="383"/>
    </row>
    <row r="850" spans="1:11" x14ac:dyDescent="0.15">
      <c r="A850" s="383"/>
      <c r="B850">
        <v>1781100110</v>
      </c>
      <c r="D850" s="278" t="s">
        <v>534</v>
      </c>
      <c r="F850" s="157">
        <v>791217</v>
      </c>
      <c r="H850" s="157">
        <v>833277</v>
      </c>
      <c r="J850" s="157">
        <v>685406.11</v>
      </c>
      <c r="K850" s="383"/>
    </row>
    <row r="851" spans="1:11" x14ac:dyDescent="0.15">
      <c r="A851" s="383"/>
      <c r="B851">
        <v>1781100442</v>
      </c>
      <c r="D851" s="278" t="s">
        <v>812</v>
      </c>
      <c r="F851" s="157">
        <v>0</v>
      </c>
      <c r="H851" s="157">
        <v>0</v>
      </c>
      <c r="J851" s="157">
        <v>0</v>
      </c>
      <c r="K851" s="383"/>
    </row>
    <row r="852" spans="1:11" x14ac:dyDescent="0.15">
      <c r="A852" s="383"/>
      <c r="B852">
        <v>1781100511</v>
      </c>
      <c r="D852" s="278" t="s">
        <v>813</v>
      </c>
      <c r="F852" s="157">
        <v>3726.4</v>
      </c>
      <c r="H852" s="157">
        <v>5500</v>
      </c>
      <c r="J852" s="157">
        <v>2825.5</v>
      </c>
      <c r="K852" s="383"/>
    </row>
    <row r="853" spans="1:11" x14ac:dyDescent="0.15">
      <c r="A853" s="383"/>
      <c r="B853">
        <v>1781100521</v>
      </c>
      <c r="D853" s="278" t="s">
        <v>646</v>
      </c>
      <c r="F853" s="157">
        <v>85000</v>
      </c>
      <c r="H853" s="157">
        <v>124375</v>
      </c>
      <c r="J853" s="157">
        <v>46146</v>
      </c>
      <c r="K853" s="383"/>
    </row>
    <row r="854" spans="1:11" s="182" customFormat="1" x14ac:dyDescent="0.15">
      <c r="A854" s="383"/>
      <c r="B854">
        <v>1781100523</v>
      </c>
      <c r="D854" s="278" t="s">
        <v>2158</v>
      </c>
      <c r="E854" s="183"/>
      <c r="F854" s="157">
        <v>0</v>
      </c>
      <c r="G854" s="166"/>
      <c r="H854" s="157">
        <v>2625</v>
      </c>
      <c r="I854" s="166"/>
      <c r="J854" s="157">
        <v>0</v>
      </c>
      <c r="K854" s="383"/>
    </row>
    <row r="855" spans="1:11" s="182" customFormat="1" x14ac:dyDescent="0.15">
      <c r="A855" s="383"/>
      <c r="B855">
        <v>1781100570</v>
      </c>
      <c r="D855" s="278" t="s">
        <v>814</v>
      </c>
      <c r="E855" s="183"/>
      <c r="F855" s="157">
        <v>0</v>
      </c>
      <c r="G855" s="166"/>
      <c r="H855" s="157">
        <v>0</v>
      </c>
      <c r="I855" s="166"/>
      <c r="J855" s="157">
        <v>0</v>
      </c>
      <c r="K855" s="383"/>
    </row>
    <row r="856" spans="1:11" x14ac:dyDescent="0.15">
      <c r="A856" s="383"/>
      <c r="B856">
        <v>1781100743</v>
      </c>
      <c r="D856" s="278" t="s">
        <v>815</v>
      </c>
      <c r="F856" s="157">
        <v>60000</v>
      </c>
      <c r="H856" s="157">
        <v>59601</v>
      </c>
      <c r="J856" s="157">
        <v>45696.5</v>
      </c>
      <c r="K856" s="383"/>
    </row>
    <row r="857" spans="1:11" x14ac:dyDescent="0.15">
      <c r="A857" s="383"/>
      <c r="B857">
        <v>1781100750</v>
      </c>
      <c r="D857" s="278" t="s">
        <v>816</v>
      </c>
      <c r="F857" s="157">
        <v>260400</v>
      </c>
      <c r="H857" s="157">
        <v>550000</v>
      </c>
      <c r="J857" s="157">
        <v>649364.71</v>
      </c>
      <c r="K857" s="383"/>
    </row>
    <row r="858" spans="1:11" s="182" customFormat="1" x14ac:dyDescent="0.15">
      <c r="A858" s="383"/>
      <c r="B858">
        <v>1781100751</v>
      </c>
      <c r="D858" s="278" t="s">
        <v>1496</v>
      </c>
      <c r="E858" s="183"/>
      <c r="F858" s="157">
        <v>27600</v>
      </c>
      <c r="G858" s="166"/>
      <c r="H858" s="157">
        <v>25477</v>
      </c>
      <c r="I858" s="166"/>
      <c r="J858" s="157">
        <v>28523.46</v>
      </c>
      <c r="K858" s="383"/>
    </row>
    <row r="859" spans="1:11" x14ac:dyDescent="0.15">
      <c r="A859" s="383"/>
      <c r="B859">
        <v>1781100780</v>
      </c>
      <c r="D859" s="278" t="s">
        <v>580</v>
      </c>
      <c r="F859" s="157">
        <v>60000</v>
      </c>
      <c r="H859" s="157">
        <v>114000</v>
      </c>
      <c r="J859" s="157">
        <v>163728.07</v>
      </c>
      <c r="K859" s="383"/>
    </row>
    <row r="860" spans="1:11" s="182" customFormat="1" x14ac:dyDescent="0.15">
      <c r="A860" s="383"/>
      <c r="B860">
        <v>1781100781</v>
      </c>
      <c r="D860" s="278" t="s">
        <v>1940</v>
      </c>
      <c r="E860" s="183"/>
      <c r="F860" s="157">
        <v>50000</v>
      </c>
      <c r="G860" s="166"/>
      <c r="H860" s="157">
        <v>90000</v>
      </c>
      <c r="I860" s="166"/>
      <c r="J860" s="157">
        <v>0</v>
      </c>
      <c r="K860" s="383"/>
    </row>
    <row r="861" spans="1:11" x14ac:dyDescent="0.15">
      <c r="A861" s="383"/>
      <c r="B861">
        <v>1781100930</v>
      </c>
      <c r="D861" s="278" t="s">
        <v>739</v>
      </c>
      <c r="F861" s="157">
        <v>30000</v>
      </c>
      <c r="H861" s="157">
        <v>47690</v>
      </c>
      <c r="J861" s="157">
        <v>6212.81</v>
      </c>
      <c r="K861" s="383"/>
    </row>
    <row r="862" spans="1:11" s="182" customFormat="1" x14ac:dyDescent="0.15">
      <c r="A862" s="383"/>
      <c r="B862">
        <v>1781200110</v>
      </c>
      <c r="D862" s="278" t="s">
        <v>1634</v>
      </c>
      <c r="E862" s="183"/>
      <c r="F862" s="157">
        <v>711468</v>
      </c>
      <c r="G862" s="166"/>
      <c r="H862" s="157">
        <v>1002928</v>
      </c>
      <c r="I862" s="166"/>
      <c r="J862" s="157">
        <v>730145.1</v>
      </c>
      <c r="K862" s="383"/>
    </row>
    <row r="863" spans="1:11" s="182" customFormat="1" x14ac:dyDescent="0.15">
      <c r="A863" s="383"/>
      <c r="B863">
        <v>1781200210</v>
      </c>
      <c r="D863" s="278" t="s">
        <v>1857</v>
      </c>
      <c r="E863" s="183"/>
      <c r="F863" s="157">
        <v>289207</v>
      </c>
      <c r="G863" s="166"/>
      <c r="H863" s="157">
        <v>281022</v>
      </c>
      <c r="I863" s="166"/>
      <c r="J863" s="157">
        <v>227567.19</v>
      </c>
      <c r="K863" s="383"/>
    </row>
    <row r="864" spans="1:11" s="182" customFormat="1" x14ac:dyDescent="0.15">
      <c r="A864" s="383"/>
      <c r="B864">
        <v>1781200521</v>
      </c>
      <c r="D864" s="278" t="s">
        <v>1637</v>
      </c>
      <c r="E864" s="183"/>
      <c r="F864" s="157">
        <v>0</v>
      </c>
      <c r="G864" s="166"/>
      <c r="H864" s="157">
        <v>20420</v>
      </c>
      <c r="I864" s="166"/>
      <c r="J864" s="157">
        <v>29487</v>
      </c>
      <c r="K864" s="383"/>
    </row>
    <row r="865" spans="1:11" s="182" customFormat="1" x14ac:dyDescent="0.15">
      <c r="A865" s="383"/>
      <c r="B865">
        <v>1781200743</v>
      </c>
      <c r="D865" s="278" t="s">
        <v>1638</v>
      </c>
      <c r="E865" s="183"/>
      <c r="F865" s="157">
        <v>0</v>
      </c>
      <c r="G865" s="166"/>
      <c r="H865" s="157">
        <v>7684</v>
      </c>
      <c r="I865" s="166"/>
      <c r="J865" s="157">
        <v>19948.5</v>
      </c>
      <c r="K865" s="383"/>
    </row>
    <row r="866" spans="1:11" s="182" customFormat="1" x14ac:dyDescent="0.15">
      <c r="A866" s="383"/>
      <c r="B866">
        <v>1781200744</v>
      </c>
      <c r="D866" s="278" t="s">
        <v>1858</v>
      </c>
      <c r="E866" s="183"/>
      <c r="F866" s="157">
        <v>55000</v>
      </c>
      <c r="G866" s="166"/>
      <c r="H866" s="157">
        <v>78000</v>
      </c>
      <c r="I866" s="166"/>
      <c r="J866" s="157">
        <v>26000</v>
      </c>
      <c r="K866" s="383"/>
    </row>
    <row r="867" spans="1:11" x14ac:dyDescent="0.15">
      <c r="A867" s="383"/>
      <c r="B867">
        <v>1781375731</v>
      </c>
      <c r="D867" s="278" t="s">
        <v>1859</v>
      </c>
      <c r="F867" s="157">
        <v>15193</v>
      </c>
      <c r="H867" s="157">
        <v>14139</v>
      </c>
      <c r="J867" s="157">
        <v>18267.63</v>
      </c>
      <c r="K867" s="383"/>
    </row>
    <row r="868" spans="1:11" ht="14" thickBot="1" x14ac:dyDescent="0.2">
      <c r="A868" s="383"/>
      <c r="B868">
        <v>1781385731</v>
      </c>
      <c r="D868" s="279" t="s">
        <v>1860</v>
      </c>
      <c r="F868" s="157">
        <v>16300</v>
      </c>
      <c r="H868" s="157">
        <v>16246</v>
      </c>
      <c r="J868" s="157">
        <v>16793.310000000001</v>
      </c>
      <c r="K868" s="383"/>
    </row>
    <row r="869" spans="1:11" ht="14" thickBot="1" x14ac:dyDescent="0.2">
      <c r="A869" s="383"/>
      <c r="D869" s="280" t="s">
        <v>1244</v>
      </c>
      <c r="F869" s="179">
        <v>5080466.4000000004</v>
      </c>
      <c r="G869" s="169">
        <v>0</v>
      </c>
      <c r="H869" s="179">
        <v>5865466.5800000001</v>
      </c>
      <c r="I869" s="169">
        <v>0</v>
      </c>
      <c r="J869" s="179">
        <v>4223237.7299999995</v>
      </c>
      <c r="K869" s="383"/>
    </row>
    <row r="870" spans="1:11" ht="14" thickBot="1" x14ac:dyDescent="0.2">
      <c r="A870" s="383"/>
      <c r="D870" s="280" t="s">
        <v>1245</v>
      </c>
      <c r="F870" s="162">
        <v>90713058.349426001</v>
      </c>
      <c r="G870" s="169">
        <v>0</v>
      </c>
      <c r="H870" s="162">
        <v>92556093.310000002</v>
      </c>
      <c r="I870" s="169">
        <v>0</v>
      </c>
      <c r="J870" s="162">
        <v>85611361.230000004</v>
      </c>
      <c r="K870" s="383"/>
    </row>
    <row r="871" spans="1:11" x14ac:dyDescent="0.15">
      <c r="A871" s="383"/>
      <c r="B871">
        <v>1811000110</v>
      </c>
      <c r="D871" s="278" t="s">
        <v>523</v>
      </c>
      <c r="F871" s="157">
        <v>3089255</v>
      </c>
      <c r="H871" s="157">
        <v>2904820</v>
      </c>
      <c r="J871" s="157">
        <v>2856758.86</v>
      </c>
      <c r="K871" s="383"/>
    </row>
    <row r="872" spans="1:11" x14ac:dyDescent="0.15">
      <c r="A872" s="383"/>
      <c r="B872">
        <v>1811000422</v>
      </c>
      <c r="D872" s="278" t="s">
        <v>818</v>
      </c>
      <c r="F872" s="157">
        <v>5000</v>
      </c>
      <c r="H872" s="157">
        <v>5000</v>
      </c>
      <c r="J872" s="157">
        <v>4934.3</v>
      </c>
      <c r="K872" s="383"/>
    </row>
    <row r="873" spans="1:11" x14ac:dyDescent="0.15">
      <c r="A873" s="383"/>
      <c r="B873">
        <v>1811000440</v>
      </c>
      <c r="D873" s="278" t="s">
        <v>558</v>
      </c>
      <c r="F873" s="157">
        <v>324689</v>
      </c>
      <c r="H873" s="157">
        <v>600988.93000000005</v>
      </c>
      <c r="J873" s="157">
        <v>382261.7</v>
      </c>
      <c r="K873" s="383"/>
    </row>
    <row r="874" spans="1:11" x14ac:dyDescent="0.15">
      <c r="A874" s="383"/>
      <c r="B874">
        <v>1811000470</v>
      </c>
      <c r="D874" s="278" t="s">
        <v>820</v>
      </c>
      <c r="F874" s="157">
        <v>0</v>
      </c>
      <c r="H874" s="157">
        <v>0</v>
      </c>
      <c r="J874" s="157">
        <v>474.92</v>
      </c>
      <c r="K874" s="383"/>
    </row>
    <row r="875" spans="1:11" x14ac:dyDescent="0.15">
      <c r="A875" s="383"/>
      <c r="B875">
        <v>1811000511</v>
      </c>
      <c r="D875" s="278" t="s">
        <v>697</v>
      </c>
      <c r="F875" s="157">
        <v>3311.2</v>
      </c>
      <c r="H875" s="157">
        <v>5500</v>
      </c>
      <c r="J875" s="157">
        <v>3387.81</v>
      </c>
      <c r="K875" s="383"/>
    </row>
    <row r="876" spans="1:11" x14ac:dyDescent="0.15">
      <c r="A876" s="383"/>
      <c r="B876">
        <v>1811000530</v>
      </c>
      <c r="D876" s="278" t="s">
        <v>1861</v>
      </c>
      <c r="F876" s="157">
        <v>61152</v>
      </c>
      <c r="H876" s="157">
        <v>64450</v>
      </c>
      <c r="J876" s="157">
        <v>57412.56</v>
      </c>
      <c r="K876" s="383"/>
    </row>
    <row r="877" spans="1:11" x14ac:dyDescent="0.15">
      <c r="A877" s="383"/>
      <c r="B877">
        <v>1811000550</v>
      </c>
      <c r="D877" s="278" t="s">
        <v>822</v>
      </c>
      <c r="F877" s="157">
        <v>0</v>
      </c>
      <c r="H877" s="157">
        <v>0</v>
      </c>
      <c r="J877" s="157">
        <v>631.79999999999995</v>
      </c>
      <c r="K877" s="383"/>
    </row>
    <row r="878" spans="1:11" x14ac:dyDescent="0.15">
      <c r="A878" s="383"/>
      <c r="B878">
        <v>1811000560</v>
      </c>
      <c r="D878" s="278" t="s">
        <v>823</v>
      </c>
      <c r="F878" s="157">
        <v>4000</v>
      </c>
      <c r="H878" s="157">
        <v>4000</v>
      </c>
      <c r="J878" s="157">
        <v>3882.6</v>
      </c>
      <c r="K878" s="383"/>
    </row>
    <row r="879" spans="1:11" x14ac:dyDescent="0.15">
      <c r="A879" s="383"/>
      <c r="B879">
        <v>1811000570</v>
      </c>
      <c r="D879" s="278" t="s">
        <v>824</v>
      </c>
      <c r="F879" s="157">
        <v>75000</v>
      </c>
      <c r="H879" s="157">
        <v>57425.16</v>
      </c>
      <c r="J879" s="157">
        <v>114874.14</v>
      </c>
      <c r="K879" s="383"/>
    </row>
    <row r="880" spans="1:11" x14ac:dyDescent="0.15">
      <c r="A880" s="383"/>
      <c r="B880">
        <v>1811000571</v>
      </c>
      <c r="D880" s="278" t="s">
        <v>590</v>
      </c>
      <c r="F880" s="157">
        <v>14100</v>
      </c>
      <c r="H880" s="157">
        <v>14100</v>
      </c>
      <c r="J880" s="157">
        <v>13978.71</v>
      </c>
      <c r="K880" s="383"/>
    </row>
    <row r="881" spans="1:11" x14ac:dyDescent="0.15">
      <c r="A881" s="383"/>
      <c r="B881">
        <v>1811000580</v>
      </c>
      <c r="D881" s="278" t="s">
        <v>825</v>
      </c>
      <c r="F881" s="157">
        <v>8500</v>
      </c>
      <c r="H881" s="157">
        <v>8500</v>
      </c>
      <c r="J881" s="157">
        <v>8764.2999999999993</v>
      </c>
      <c r="K881" s="383"/>
    </row>
    <row r="882" spans="1:11" x14ac:dyDescent="0.15">
      <c r="A882" s="383"/>
      <c r="B882">
        <v>1811000581</v>
      </c>
      <c r="D882" s="278" t="s">
        <v>1862</v>
      </c>
      <c r="F882" s="157">
        <v>6000</v>
      </c>
      <c r="H882" s="157">
        <v>6000</v>
      </c>
      <c r="J882" s="157">
        <v>5469.65</v>
      </c>
      <c r="K882" s="383"/>
    </row>
    <row r="883" spans="1:11" x14ac:dyDescent="0.15">
      <c r="A883" s="383"/>
      <c r="B883">
        <v>1811000780</v>
      </c>
      <c r="D883" s="278" t="s">
        <v>580</v>
      </c>
      <c r="F883" s="157">
        <v>6500</v>
      </c>
      <c r="H883" s="157">
        <v>6500</v>
      </c>
      <c r="J883" s="157">
        <v>6249</v>
      </c>
      <c r="K883" s="383"/>
    </row>
    <row r="884" spans="1:11" s="182" customFormat="1" x14ac:dyDescent="0.15">
      <c r="A884" s="383"/>
      <c r="B884">
        <v>1811000910</v>
      </c>
      <c r="D884" s="278" t="s">
        <v>1863</v>
      </c>
      <c r="E884" s="183"/>
      <c r="F884" s="157">
        <v>81000</v>
      </c>
      <c r="G884" s="166"/>
      <c r="H884" s="157">
        <v>450000</v>
      </c>
      <c r="I884" s="166"/>
      <c r="J884" s="157">
        <v>599068.11</v>
      </c>
      <c r="K884" s="383"/>
    </row>
    <row r="885" spans="1:11" x14ac:dyDescent="0.15">
      <c r="A885" s="383"/>
      <c r="B885">
        <v>1811000930</v>
      </c>
      <c r="D885" s="278" t="s">
        <v>1864</v>
      </c>
      <c r="F885" s="157">
        <v>5000</v>
      </c>
      <c r="H885" s="157">
        <v>5000</v>
      </c>
      <c r="J885" s="157">
        <v>3265</v>
      </c>
      <c r="K885" s="383"/>
    </row>
    <row r="886" spans="1:11" x14ac:dyDescent="0.15">
      <c r="A886" s="383"/>
      <c r="B886">
        <v>1811001530</v>
      </c>
      <c r="D886" s="278" t="s">
        <v>1620</v>
      </c>
      <c r="F886" s="157">
        <v>54692</v>
      </c>
      <c r="H886" s="157">
        <v>61922</v>
      </c>
      <c r="J886" s="157">
        <v>54273.38</v>
      </c>
      <c r="K886" s="383"/>
    </row>
    <row r="887" spans="1:11" x14ac:dyDescent="0.15">
      <c r="A887" s="383"/>
      <c r="B887">
        <v>1811002731</v>
      </c>
      <c r="D887" s="278" t="s">
        <v>1865</v>
      </c>
      <c r="F887" s="157">
        <v>13000</v>
      </c>
      <c r="H887" s="157">
        <v>13064</v>
      </c>
      <c r="J887" s="157">
        <v>9257.48</v>
      </c>
      <c r="K887" s="383"/>
    </row>
    <row r="888" spans="1:11" x14ac:dyDescent="0.15">
      <c r="A888" s="383"/>
      <c r="B888">
        <v>1812200110</v>
      </c>
      <c r="D888" s="278" t="s">
        <v>126</v>
      </c>
      <c r="F888" s="157">
        <v>283475</v>
      </c>
      <c r="H888" s="157">
        <v>282254</v>
      </c>
      <c r="J888" s="157">
        <v>257630.77</v>
      </c>
      <c r="K888" s="383"/>
    </row>
    <row r="889" spans="1:11" x14ac:dyDescent="0.15">
      <c r="A889" s="383"/>
      <c r="B889">
        <v>1812200210</v>
      </c>
      <c r="D889" s="278" t="s">
        <v>1823</v>
      </c>
      <c r="F889" s="157">
        <v>0</v>
      </c>
      <c r="H889" s="157">
        <v>0</v>
      </c>
      <c r="J889" s="157">
        <v>-680.82</v>
      </c>
      <c r="K889" s="383"/>
    </row>
    <row r="890" spans="1:11" x14ac:dyDescent="0.15">
      <c r="A890" s="383"/>
      <c r="B890">
        <v>1812200430</v>
      </c>
      <c r="D890" s="278" t="s">
        <v>956</v>
      </c>
      <c r="F890" s="157">
        <v>453210</v>
      </c>
      <c r="H890" s="157">
        <v>430000</v>
      </c>
      <c r="J890" s="157">
        <v>444496.73</v>
      </c>
      <c r="K890" s="383"/>
    </row>
    <row r="891" spans="1:11" x14ac:dyDescent="0.15">
      <c r="A891" s="383"/>
      <c r="B891">
        <v>1812200540</v>
      </c>
      <c r="D891" s="278" t="s">
        <v>957</v>
      </c>
      <c r="F891" s="157">
        <v>21624</v>
      </c>
      <c r="H891" s="157">
        <v>21624</v>
      </c>
      <c r="J891" s="157">
        <v>21136.94</v>
      </c>
      <c r="K891" s="383"/>
    </row>
    <row r="892" spans="1:11" x14ac:dyDescent="0.15">
      <c r="A892" s="383"/>
      <c r="B892">
        <v>1812200550</v>
      </c>
      <c r="D892" s="278" t="s">
        <v>822</v>
      </c>
      <c r="F892" s="157">
        <v>5000</v>
      </c>
      <c r="H892" s="157">
        <v>5000</v>
      </c>
      <c r="J892" s="157">
        <v>2739.5</v>
      </c>
      <c r="K892" s="383"/>
    </row>
    <row r="893" spans="1:11" x14ac:dyDescent="0.15">
      <c r="A893" s="383"/>
      <c r="B893">
        <v>1812200720</v>
      </c>
      <c r="D893" s="278" t="s">
        <v>958</v>
      </c>
      <c r="F893" s="157">
        <v>84233</v>
      </c>
      <c r="H893" s="157">
        <v>84233</v>
      </c>
      <c r="J893" s="157">
        <v>90767.55</v>
      </c>
      <c r="K893" s="383"/>
    </row>
    <row r="894" spans="1:11" x14ac:dyDescent="0.15">
      <c r="A894" s="383"/>
      <c r="B894">
        <v>1812200721</v>
      </c>
      <c r="D894" s="278" t="s">
        <v>959</v>
      </c>
      <c r="F894" s="157">
        <v>35000</v>
      </c>
      <c r="H894" s="157">
        <v>35000</v>
      </c>
      <c r="J894" s="157">
        <v>34160</v>
      </c>
      <c r="K894" s="383"/>
    </row>
    <row r="895" spans="1:11" x14ac:dyDescent="0.15">
      <c r="A895" s="383"/>
      <c r="B895">
        <v>1812200750</v>
      </c>
      <c r="D895" s="278" t="s">
        <v>956</v>
      </c>
      <c r="F895" s="157">
        <v>150000</v>
      </c>
      <c r="H895" s="157">
        <v>150000</v>
      </c>
      <c r="J895" s="157">
        <v>144880.6</v>
      </c>
      <c r="K895" s="383"/>
    </row>
    <row r="896" spans="1:11" x14ac:dyDescent="0.15">
      <c r="A896" s="383"/>
      <c r="B896">
        <v>1812200780</v>
      </c>
      <c r="D896" s="278" t="s">
        <v>580</v>
      </c>
      <c r="F896" s="157">
        <v>412500</v>
      </c>
      <c r="H896" s="157">
        <v>315767</v>
      </c>
      <c r="J896" s="157">
        <v>72332.59</v>
      </c>
      <c r="K896" s="383"/>
    </row>
    <row r="897" spans="1:11" x14ac:dyDescent="0.15">
      <c r="A897" s="383"/>
      <c r="B897">
        <v>1812200811</v>
      </c>
      <c r="D897" s="278" t="s">
        <v>1866</v>
      </c>
      <c r="F897" s="157">
        <v>325000</v>
      </c>
      <c r="H897" s="157">
        <v>325000</v>
      </c>
      <c r="J897" s="157">
        <v>324996</v>
      </c>
      <c r="K897" s="383"/>
    </row>
    <row r="898" spans="1:11" x14ac:dyDescent="0.15">
      <c r="A898" s="383"/>
      <c r="B898">
        <v>1812200930</v>
      </c>
      <c r="D898" s="278" t="s">
        <v>961</v>
      </c>
      <c r="F898" s="157">
        <v>80000</v>
      </c>
      <c r="H898" s="157">
        <v>85000</v>
      </c>
      <c r="J898" s="157">
        <v>73934.5</v>
      </c>
      <c r="K898" s="383"/>
    </row>
    <row r="899" spans="1:11" x14ac:dyDescent="0.15">
      <c r="A899" s="383"/>
      <c r="B899">
        <v>1812201560</v>
      </c>
      <c r="D899" s="278" t="s">
        <v>664</v>
      </c>
      <c r="F899" s="157">
        <v>3000</v>
      </c>
      <c r="H899" s="157">
        <v>3000</v>
      </c>
      <c r="J899" s="157">
        <v>2988.86</v>
      </c>
      <c r="K899" s="383"/>
    </row>
    <row r="900" spans="1:11" x14ac:dyDescent="0.15">
      <c r="A900" s="383"/>
      <c r="B900">
        <v>1812201780</v>
      </c>
      <c r="D900" s="278" t="s">
        <v>962</v>
      </c>
      <c r="F900" s="157">
        <v>45000</v>
      </c>
      <c r="H900" s="157">
        <v>44796</v>
      </c>
      <c r="J900" s="157">
        <v>35220.33</v>
      </c>
      <c r="K900" s="383"/>
    </row>
    <row r="901" spans="1:11" x14ac:dyDescent="0.15">
      <c r="A901" s="383"/>
      <c r="B901">
        <v>1812210110</v>
      </c>
      <c r="D901" s="278" t="s">
        <v>921</v>
      </c>
      <c r="F901" s="157">
        <v>7832490</v>
      </c>
      <c r="H901" s="157">
        <v>8226703</v>
      </c>
      <c r="J901" s="157">
        <v>7405865.3799999999</v>
      </c>
      <c r="K901" s="383"/>
    </row>
    <row r="902" spans="1:11" x14ac:dyDescent="0.15">
      <c r="A902" s="383"/>
      <c r="B902">
        <v>1812210210</v>
      </c>
      <c r="D902" s="278" t="s">
        <v>1867</v>
      </c>
      <c r="F902" s="157">
        <v>8175311</v>
      </c>
      <c r="H902" s="157">
        <v>7378421</v>
      </c>
      <c r="J902" s="157">
        <v>7017074.75</v>
      </c>
      <c r="K902" s="383"/>
    </row>
    <row r="903" spans="1:11" x14ac:dyDescent="0.15">
      <c r="A903" s="383"/>
      <c r="B903">
        <v>1812210760</v>
      </c>
      <c r="D903" s="278" t="s">
        <v>963</v>
      </c>
      <c r="F903" s="157">
        <v>7384098</v>
      </c>
      <c r="H903" s="157">
        <v>7554628</v>
      </c>
      <c r="J903" s="157">
        <v>6713666.7400000002</v>
      </c>
      <c r="K903" s="383"/>
    </row>
    <row r="904" spans="1:11" x14ac:dyDescent="0.15">
      <c r="A904" s="383"/>
      <c r="B904">
        <v>1812220760</v>
      </c>
      <c r="D904" s="278" t="s">
        <v>363</v>
      </c>
      <c r="F904" s="157">
        <v>4967242</v>
      </c>
      <c r="H904" s="157">
        <v>4969622</v>
      </c>
      <c r="J904" s="157">
        <v>5131015.74</v>
      </c>
      <c r="K904" s="383"/>
    </row>
    <row r="905" spans="1:11" x14ac:dyDescent="0.15">
      <c r="A905" s="383"/>
      <c r="B905">
        <v>1812500780</v>
      </c>
      <c r="D905" s="278" t="s">
        <v>1868</v>
      </c>
      <c r="F905" s="157">
        <v>2392481</v>
      </c>
      <c r="H905" s="157">
        <v>2354661</v>
      </c>
      <c r="J905" s="157">
        <v>2285050.96</v>
      </c>
      <c r="K905" s="383"/>
    </row>
    <row r="906" spans="1:11" x14ac:dyDescent="0.15">
      <c r="A906" s="383"/>
      <c r="B906">
        <v>1812501780</v>
      </c>
      <c r="D906" s="278" t="s">
        <v>1869</v>
      </c>
      <c r="F906" s="157">
        <v>5320320</v>
      </c>
      <c r="H906" s="157">
        <v>5155000</v>
      </c>
      <c r="J906" s="157">
        <v>3588882.46</v>
      </c>
      <c r="K906" s="383"/>
    </row>
    <row r="907" spans="1:11" x14ac:dyDescent="0.15">
      <c r="A907" s="383"/>
      <c r="B907">
        <v>1813200430</v>
      </c>
      <c r="D907" s="278" t="s">
        <v>839</v>
      </c>
      <c r="F907" s="157">
        <v>1283660</v>
      </c>
      <c r="H907" s="157">
        <v>1290000</v>
      </c>
      <c r="J907" s="157">
        <v>1116624.1299999999</v>
      </c>
      <c r="K907" s="383"/>
    </row>
    <row r="908" spans="1:11" x14ac:dyDescent="0.15">
      <c r="A908" s="383"/>
      <c r="B908">
        <v>1813200470</v>
      </c>
      <c r="D908" s="278" t="s">
        <v>966</v>
      </c>
      <c r="F908" s="157">
        <v>25000</v>
      </c>
      <c r="H908" s="157">
        <v>25000</v>
      </c>
      <c r="J908" s="157">
        <v>26784</v>
      </c>
      <c r="K908" s="383"/>
    </row>
    <row r="909" spans="1:11" x14ac:dyDescent="0.15">
      <c r="A909" s="383"/>
      <c r="B909">
        <v>1813200540</v>
      </c>
      <c r="D909" s="278" t="s">
        <v>967</v>
      </c>
      <c r="F909" s="157">
        <v>3456</v>
      </c>
      <c r="H909" s="157">
        <v>3456</v>
      </c>
      <c r="J909" s="157">
        <v>3377.68</v>
      </c>
      <c r="K909" s="383"/>
    </row>
    <row r="910" spans="1:11" x14ac:dyDescent="0.15">
      <c r="A910" s="383"/>
      <c r="B910">
        <v>1813200720</v>
      </c>
      <c r="D910" s="278" t="s">
        <v>689</v>
      </c>
      <c r="F910" s="157">
        <v>150000</v>
      </c>
      <c r="H910" s="157">
        <v>150000</v>
      </c>
      <c r="J910" s="157">
        <v>101778.57</v>
      </c>
      <c r="K910" s="383"/>
    </row>
    <row r="911" spans="1:11" x14ac:dyDescent="0.15">
      <c r="A911" s="383"/>
      <c r="B911">
        <v>1813200721</v>
      </c>
      <c r="D911" s="278" t="s">
        <v>968</v>
      </c>
      <c r="F911" s="157">
        <v>325000</v>
      </c>
      <c r="H911" s="157">
        <v>325000</v>
      </c>
      <c r="J911" s="157">
        <v>312608</v>
      </c>
      <c r="K911" s="383"/>
    </row>
    <row r="912" spans="1:11" s="182" customFormat="1" x14ac:dyDescent="0.15">
      <c r="A912" s="383"/>
      <c r="B912">
        <v>1813200723</v>
      </c>
      <c r="D912" s="278" t="s">
        <v>2048</v>
      </c>
      <c r="E912" s="183"/>
      <c r="F912" s="157">
        <v>526240</v>
      </c>
      <c r="G912" s="166"/>
      <c r="H912" s="157">
        <v>526240</v>
      </c>
      <c r="I912" s="166"/>
      <c r="J912" s="157">
        <v>113220.65</v>
      </c>
      <c r="K912" s="383"/>
    </row>
    <row r="913" spans="1:11" x14ac:dyDescent="0.15">
      <c r="A913" s="383"/>
      <c r="B913">
        <v>1813200750</v>
      </c>
      <c r="D913" s="278" t="s">
        <v>714</v>
      </c>
      <c r="F913" s="157">
        <v>780000</v>
      </c>
      <c r="H913" s="157">
        <v>780000</v>
      </c>
      <c r="J913" s="157">
        <v>596764.30000000005</v>
      </c>
      <c r="K913" s="383"/>
    </row>
    <row r="914" spans="1:11" s="182" customFormat="1" x14ac:dyDescent="0.15">
      <c r="A914" s="383"/>
      <c r="B914">
        <v>1813200780</v>
      </c>
      <c r="D914" s="278" t="s">
        <v>580</v>
      </c>
      <c r="E914" s="183"/>
      <c r="F914" s="157">
        <v>25000</v>
      </c>
      <c r="G914" s="166">
        <v>0</v>
      </c>
      <c r="H914" s="157">
        <v>25000</v>
      </c>
      <c r="I914" s="166"/>
      <c r="J914" s="157">
        <v>31156.3</v>
      </c>
      <c r="K914" s="383"/>
    </row>
    <row r="915" spans="1:11" x14ac:dyDescent="0.15">
      <c r="A915" s="383"/>
      <c r="B915">
        <v>1813200910</v>
      </c>
      <c r="D915" s="278" t="s">
        <v>738</v>
      </c>
      <c r="F915" s="157">
        <v>0</v>
      </c>
      <c r="H915" s="157">
        <v>0</v>
      </c>
      <c r="J915" s="157">
        <v>0</v>
      </c>
      <c r="K915" s="383"/>
    </row>
    <row r="916" spans="1:11" s="182" customFormat="1" x14ac:dyDescent="0.15">
      <c r="A916" s="383"/>
      <c r="B916">
        <v>1813200930</v>
      </c>
      <c r="D916" s="278" t="s">
        <v>961</v>
      </c>
      <c r="E916" s="183"/>
      <c r="F916" s="157">
        <v>75000</v>
      </c>
      <c r="G916" s="166"/>
      <c r="H916" s="157">
        <v>80000</v>
      </c>
      <c r="I916" s="166"/>
      <c r="J916" s="157">
        <v>57651.33</v>
      </c>
      <c r="K916" s="383"/>
    </row>
    <row r="917" spans="1:11" s="182" customFormat="1" x14ac:dyDescent="0.15">
      <c r="A917" s="383"/>
      <c r="B917">
        <v>1813200980</v>
      </c>
      <c r="D917" s="278" t="s">
        <v>969</v>
      </c>
      <c r="E917" s="183"/>
      <c r="F917" s="157">
        <v>3058000</v>
      </c>
      <c r="G917" s="166"/>
      <c r="H917" s="157">
        <v>2753000</v>
      </c>
      <c r="I917" s="166"/>
      <c r="J917" s="157">
        <v>2059962.5</v>
      </c>
      <c r="K917" s="383"/>
    </row>
    <row r="918" spans="1:11" s="182" customFormat="1" x14ac:dyDescent="0.15">
      <c r="A918" s="383"/>
      <c r="B918">
        <v>1813200981</v>
      </c>
      <c r="C918" s="155"/>
      <c r="D918" s="278" t="s">
        <v>1494</v>
      </c>
      <c r="E918" s="183"/>
      <c r="F918" s="157">
        <v>1435000</v>
      </c>
      <c r="G918" s="166"/>
      <c r="H918" s="157">
        <v>1720000</v>
      </c>
      <c r="I918" s="166"/>
      <c r="J918" s="157">
        <v>1744939.6</v>
      </c>
      <c r="K918" s="383"/>
    </row>
    <row r="919" spans="1:11" x14ac:dyDescent="0.15">
      <c r="A919" s="383"/>
      <c r="B919">
        <v>1813201750</v>
      </c>
      <c r="D919" s="278" t="s">
        <v>1870</v>
      </c>
      <c r="F919" s="157">
        <v>662500</v>
      </c>
      <c r="H919" s="157">
        <v>262500</v>
      </c>
      <c r="J919" s="157">
        <v>255765.5</v>
      </c>
      <c r="K919" s="383"/>
    </row>
    <row r="920" spans="1:11" x14ac:dyDescent="0.15">
      <c r="A920" s="383"/>
      <c r="B920">
        <v>1813201780</v>
      </c>
      <c r="D920" s="278" t="s">
        <v>1493</v>
      </c>
      <c r="F920" s="157">
        <v>605216</v>
      </c>
      <c r="H920" s="157">
        <v>653662</v>
      </c>
      <c r="J920" s="157">
        <v>518035.75</v>
      </c>
      <c r="K920" s="383"/>
    </row>
    <row r="921" spans="1:11" x14ac:dyDescent="0.15">
      <c r="A921" s="383"/>
      <c r="B921">
        <v>1813201781</v>
      </c>
      <c r="D921" s="278" t="s">
        <v>1492</v>
      </c>
      <c r="F921" s="157">
        <v>609050</v>
      </c>
      <c r="H921" s="157">
        <v>688250</v>
      </c>
      <c r="J921" s="157">
        <v>542041.75</v>
      </c>
      <c r="K921" s="383"/>
    </row>
    <row r="922" spans="1:11" x14ac:dyDescent="0.15">
      <c r="A922" s="383"/>
      <c r="B922">
        <v>1813201980</v>
      </c>
      <c r="D922" s="278" t="s">
        <v>127</v>
      </c>
      <c r="F922" s="157">
        <v>2200000</v>
      </c>
      <c r="H922" s="157">
        <v>1500000</v>
      </c>
      <c r="J922" s="157">
        <v>1427055</v>
      </c>
      <c r="K922" s="383"/>
    </row>
    <row r="923" spans="1:11" x14ac:dyDescent="0.15">
      <c r="A923" s="383"/>
      <c r="B923">
        <v>1813204110</v>
      </c>
      <c r="D923" s="278" t="s">
        <v>923</v>
      </c>
      <c r="F923" s="157">
        <v>1504805</v>
      </c>
      <c r="H923" s="157">
        <v>1459864</v>
      </c>
      <c r="J923" s="157">
        <v>1509640.2</v>
      </c>
      <c r="K923" s="383"/>
    </row>
    <row r="924" spans="1:11" x14ac:dyDescent="0.15">
      <c r="A924" s="383"/>
      <c r="B924">
        <v>1813204210</v>
      </c>
      <c r="D924" s="278" t="s">
        <v>919</v>
      </c>
      <c r="F924" s="157">
        <v>0</v>
      </c>
      <c r="H924" s="157">
        <v>0</v>
      </c>
      <c r="J924" s="157">
        <v>0</v>
      </c>
      <c r="K924" s="383"/>
    </row>
    <row r="925" spans="1:11" x14ac:dyDescent="0.15">
      <c r="A925" s="383"/>
      <c r="B925">
        <v>1813205110</v>
      </c>
      <c r="D925" s="278" t="s">
        <v>924</v>
      </c>
      <c r="F925" s="157">
        <v>1948574</v>
      </c>
      <c r="H925" s="157">
        <v>1863431</v>
      </c>
      <c r="J925" s="157">
        <v>1807012.76</v>
      </c>
      <c r="K925" s="383"/>
    </row>
    <row r="926" spans="1:11" x14ac:dyDescent="0.15">
      <c r="A926" s="383"/>
      <c r="B926">
        <v>1813205760</v>
      </c>
      <c r="D926" s="278" t="s">
        <v>1871</v>
      </c>
      <c r="F926" s="157">
        <v>75000</v>
      </c>
      <c r="H926" s="157">
        <v>75000</v>
      </c>
      <c r="J926" s="157">
        <v>75000</v>
      </c>
      <c r="K926" s="383"/>
    </row>
    <row r="927" spans="1:11" x14ac:dyDescent="0.15">
      <c r="A927" s="383"/>
      <c r="B927">
        <v>1813205780</v>
      </c>
      <c r="D927" s="278" t="s">
        <v>972</v>
      </c>
      <c r="F927" s="157">
        <v>300000</v>
      </c>
      <c r="H927" s="157">
        <v>300000</v>
      </c>
      <c r="J927" s="157">
        <v>300000</v>
      </c>
      <c r="K927" s="383"/>
    </row>
    <row r="928" spans="1:11" x14ac:dyDescent="0.15">
      <c r="A928" s="383"/>
      <c r="B928">
        <v>1813205781</v>
      </c>
      <c r="D928" s="278" t="s">
        <v>1582</v>
      </c>
      <c r="F928" s="157">
        <v>328346</v>
      </c>
      <c r="H928" s="157">
        <v>99000</v>
      </c>
      <c r="J928" s="157">
        <v>69346</v>
      </c>
      <c r="K928" s="383"/>
    </row>
    <row r="929" spans="1:11" x14ac:dyDescent="0.15">
      <c r="A929" s="383"/>
      <c r="B929">
        <v>1813211110</v>
      </c>
      <c r="D929" s="278" t="s">
        <v>926</v>
      </c>
      <c r="F929" s="157">
        <v>198433</v>
      </c>
      <c r="H929" s="157">
        <v>147380</v>
      </c>
      <c r="J929" s="157">
        <v>143382.49</v>
      </c>
      <c r="K929" s="383"/>
    </row>
    <row r="930" spans="1:11" x14ac:dyDescent="0.15">
      <c r="A930" s="383"/>
      <c r="B930">
        <v>1813211750</v>
      </c>
      <c r="D930" s="278" t="s">
        <v>1872</v>
      </c>
      <c r="F930" s="157">
        <v>2047500</v>
      </c>
      <c r="H930" s="157">
        <v>1950000</v>
      </c>
      <c r="J930" s="157">
        <v>1870533</v>
      </c>
      <c r="K930" s="383"/>
    </row>
    <row r="931" spans="1:11" x14ac:dyDescent="0.15">
      <c r="A931" s="383"/>
      <c r="B931">
        <v>1813213110</v>
      </c>
      <c r="D931" s="278" t="s">
        <v>927</v>
      </c>
      <c r="F931" s="157">
        <v>2596429</v>
      </c>
      <c r="H931" s="157">
        <v>2320480</v>
      </c>
      <c r="J931" s="157">
        <v>2258877.62</v>
      </c>
      <c r="K931" s="383"/>
    </row>
    <row r="932" spans="1:11" x14ac:dyDescent="0.15">
      <c r="A932" s="383"/>
      <c r="B932">
        <v>1813213210</v>
      </c>
      <c r="D932" s="278" t="s">
        <v>928</v>
      </c>
      <c r="F932" s="157">
        <v>5101694</v>
      </c>
      <c r="H932" s="157">
        <v>3406832</v>
      </c>
      <c r="J932" s="157">
        <v>3334082.43</v>
      </c>
      <c r="K932" s="383"/>
    </row>
    <row r="933" spans="1:11" x14ac:dyDescent="0.15">
      <c r="A933" s="383"/>
      <c r="B933">
        <v>1813214110</v>
      </c>
      <c r="D933" s="278" t="s">
        <v>162</v>
      </c>
      <c r="F933" s="157">
        <v>0</v>
      </c>
      <c r="H933" s="157">
        <v>0</v>
      </c>
      <c r="J933" s="157">
        <v>135734</v>
      </c>
      <c r="K933" s="383"/>
    </row>
    <row r="934" spans="1:11" x14ac:dyDescent="0.15">
      <c r="A934" s="383"/>
      <c r="B934">
        <v>1813300430</v>
      </c>
      <c r="D934" s="278" t="s">
        <v>975</v>
      </c>
      <c r="F934" s="157">
        <v>5000</v>
      </c>
      <c r="H934" s="157">
        <v>5000</v>
      </c>
      <c r="J934" s="157">
        <v>0</v>
      </c>
      <c r="K934" s="383"/>
    </row>
    <row r="935" spans="1:11" x14ac:dyDescent="0.15">
      <c r="A935" s="383"/>
      <c r="B935">
        <v>1813300721</v>
      </c>
      <c r="D935" s="278" t="s">
        <v>1873</v>
      </c>
      <c r="F935" s="157">
        <v>598186</v>
      </c>
      <c r="H935" s="157">
        <v>569404</v>
      </c>
      <c r="J935" s="157">
        <v>543320.80000000005</v>
      </c>
      <c r="K935" s="383"/>
    </row>
    <row r="936" spans="1:11" x14ac:dyDescent="0.15">
      <c r="A936" s="383"/>
      <c r="B936">
        <v>1813300780</v>
      </c>
      <c r="D936" s="278" t="s">
        <v>1874</v>
      </c>
      <c r="F936" s="157">
        <v>50000</v>
      </c>
      <c r="H936" s="157">
        <v>25000</v>
      </c>
      <c r="J936" s="157">
        <v>28625</v>
      </c>
      <c r="K936" s="383"/>
    </row>
    <row r="937" spans="1:11" x14ac:dyDescent="0.15">
      <c r="A937" s="383"/>
      <c r="B937">
        <v>1813304110</v>
      </c>
      <c r="D937" s="278" t="s">
        <v>919</v>
      </c>
      <c r="F937" s="157">
        <v>339132</v>
      </c>
      <c r="H937" s="157">
        <v>316940</v>
      </c>
      <c r="J937" s="157">
        <v>317050.08</v>
      </c>
      <c r="K937" s="383"/>
    </row>
    <row r="938" spans="1:11" x14ac:dyDescent="0.15">
      <c r="A938" s="383"/>
      <c r="B938">
        <v>1813305110</v>
      </c>
      <c r="D938" s="278" t="s">
        <v>1875</v>
      </c>
      <c r="F938" s="157">
        <v>305890</v>
      </c>
      <c r="H938" s="157">
        <v>298827</v>
      </c>
      <c r="J938" s="157">
        <v>293705.28999999998</v>
      </c>
      <c r="K938" s="383"/>
    </row>
    <row r="939" spans="1:11" x14ac:dyDescent="0.15">
      <c r="A939" s="383"/>
      <c r="B939">
        <v>1813311750</v>
      </c>
      <c r="D939" s="278" t="s">
        <v>1876</v>
      </c>
      <c r="F939" s="157">
        <v>325500</v>
      </c>
      <c r="H939" s="157">
        <v>310000</v>
      </c>
      <c r="J939" s="157">
        <v>300000</v>
      </c>
      <c r="K939" s="383"/>
    </row>
    <row r="940" spans="1:11" x14ac:dyDescent="0.15">
      <c r="A940" s="383"/>
      <c r="B940">
        <v>1813313110</v>
      </c>
      <c r="D940" s="278" t="s">
        <v>1877</v>
      </c>
      <c r="F940" s="157">
        <v>2844643</v>
      </c>
      <c r="H940" s="157">
        <v>2762775</v>
      </c>
      <c r="J940" s="157">
        <v>2768842.12</v>
      </c>
      <c r="K940" s="383"/>
    </row>
    <row r="941" spans="1:11" x14ac:dyDescent="0.15">
      <c r="A941" s="383"/>
      <c r="B941">
        <v>1813313210</v>
      </c>
      <c r="D941" s="278" t="s">
        <v>1878</v>
      </c>
      <c r="F941" s="157">
        <v>712690</v>
      </c>
      <c r="H941" s="157">
        <v>659997</v>
      </c>
      <c r="J941" s="157">
        <v>582798.73</v>
      </c>
      <c r="K941" s="383"/>
    </row>
    <row r="942" spans="1:11" x14ac:dyDescent="0.15">
      <c r="A942" s="383"/>
      <c r="B942">
        <v>1813317780</v>
      </c>
      <c r="D942" s="278" t="s">
        <v>289</v>
      </c>
      <c r="F942" s="157">
        <v>1350000</v>
      </c>
      <c r="H942" s="157">
        <v>1350000</v>
      </c>
      <c r="J942" s="157">
        <v>1335141.25</v>
      </c>
      <c r="K942" s="383"/>
    </row>
    <row r="943" spans="1:11" x14ac:dyDescent="0.15">
      <c r="A943" s="383"/>
      <c r="B943">
        <v>1813700750</v>
      </c>
      <c r="D943" s="278" t="s">
        <v>979</v>
      </c>
      <c r="F943" s="157">
        <v>60000</v>
      </c>
      <c r="H943" s="157">
        <v>60000</v>
      </c>
      <c r="J943" s="157">
        <v>41683.97</v>
      </c>
      <c r="K943" s="383"/>
    </row>
    <row r="944" spans="1:11" x14ac:dyDescent="0.15">
      <c r="A944" s="383"/>
      <c r="B944">
        <v>1813700780</v>
      </c>
      <c r="D944" s="278" t="s">
        <v>1491</v>
      </c>
      <c r="F944" s="157">
        <v>0</v>
      </c>
      <c r="H944" s="157">
        <v>0</v>
      </c>
      <c r="J944" s="157">
        <v>785.6</v>
      </c>
      <c r="K944" s="383"/>
    </row>
    <row r="945" spans="1:11" x14ac:dyDescent="0.15">
      <c r="A945" s="383"/>
      <c r="B945">
        <v>1813705110</v>
      </c>
      <c r="D945" s="278" t="s">
        <v>932</v>
      </c>
      <c r="F945" s="157">
        <v>140113</v>
      </c>
      <c r="H945" s="157">
        <v>136784</v>
      </c>
      <c r="J945" s="157">
        <v>132799.79</v>
      </c>
      <c r="K945" s="383"/>
    </row>
    <row r="946" spans="1:11" x14ac:dyDescent="0.15">
      <c r="A946" s="383"/>
      <c r="B946">
        <v>1815200810</v>
      </c>
      <c r="D946" s="278" t="s">
        <v>1879</v>
      </c>
      <c r="F946" s="157">
        <v>44360</v>
      </c>
      <c r="H946" s="157">
        <v>44360</v>
      </c>
      <c r="J946" s="157">
        <v>41360</v>
      </c>
      <c r="K946" s="383"/>
    </row>
    <row r="947" spans="1:11" x14ac:dyDescent="0.15">
      <c r="A947" s="383"/>
      <c r="B947">
        <v>1815700810</v>
      </c>
      <c r="D947" s="278" t="s">
        <v>982</v>
      </c>
      <c r="F947" s="157">
        <v>146450</v>
      </c>
      <c r="H947" s="157">
        <v>350000</v>
      </c>
      <c r="J947" s="157">
        <v>52248</v>
      </c>
      <c r="K947" s="383"/>
    </row>
    <row r="948" spans="1:11" s="182" customFormat="1" x14ac:dyDescent="0.15">
      <c r="A948" s="383"/>
      <c r="B948">
        <v>1815701110</v>
      </c>
      <c r="D948" s="278" t="s">
        <v>163</v>
      </c>
      <c r="E948" s="183"/>
      <c r="F948" s="157">
        <v>0</v>
      </c>
      <c r="G948" s="166"/>
      <c r="H948" s="157">
        <v>0</v>
      </c>
      <c r="I948" s="166"/>
      <c r="J948" s="157">
        <v>3883.41</v>
      </c>
      <c r="K948" s="383"/>
    </row>
    <row r="949" spans="1:11" x14ac:dyDescent="0.15">
      <c r="A949" s="383"/>
      <c r="B949">
        <v>1815701810</v>
      </c>
      <c r="D949" s="278" t="s">
        <v>983</v>
      </c>
      <c r="F949" s="157">
        <v>14200000</v>
      </c>
      <c r="H949" s="157">
        <v>14200000</v>
      </c>
      <c r="J949" s="157">
        <v>14200002</v>
      </c>
      <c r="K949" s="383"/>
    </row>
    <row r="950" spans="1:11" x14ac:dyDescent="0.15">
      <c r="A950" s="383"/>
      <c r="B950">
        <v>1815777780</v>
      </c>
      <c r="D950" s="278" t="s">
        <v>985</v>
      </c>
      <c r="F950" s="157">
        <v>1100000</v>
      </c>
      <c r="H950" s="157">
        <v>1050000</v>
      </c>
      <c r="J950" s="157">
        <v>845439</v>
      </c>
      <c r="K950" s="383"/>
    </row>
    <row r="951" spans="1:11" x14ac:dyDescent="0.15">
      <c r="A951" s="383"/>
      <c r="B951">
        <v>1815777781</v>
      </c>
      <c r="D951" s="278" t="s">
        <v>985</v>
      </c>
      <c r="F951" s="157">
        <v>16000000</v>
      </c>
      <c r="H951" s="157">
        <v>16000000</v>
      </c>
      <c r="J951" s="157">
        <v>16000000</v>
      </c>
      <c r="K951" s="383"/>
    </row>
    <row r="952" spans="1:11" x14ac:dyDescent="0.15">
      <c r="A952" s="383"/>
      <c r="B952">
        <v>1815788780</v>
      </c>
      <c r="D952" s="278" t="s">
        <v>1880</v>
      </c>
      <c r="F952" s="157">
        <v>625000</v>
      </c>
      <c r="H952" s="157">
        <v>625000</v>
      </c>
      <c r="J952" s="157">
        <v>649996</v>
      </c>
      <c r="K952" s="383"/>
    </row>
    <row r="953" spans="1:11" x14ac:dyDescent="0.15">
      <c r="A953" s="383"/>
      <c r="B953">
        <v>1815788781</v>
      </c>
      <c r="D953" s="278" t="s">
        <v>292</v>
      </c>
      <c r="F953" s="157">
        <v>7000000</v>
      </c>
      <c r="H953" s="157">
        <v>7000000</v>
      </c>
      <c r="J953" s="157">
        <v>7000000</v>
      </c>
      <c r="K953" s="383"/>
    </row>
    <row r="954" spans="1:11" s="182" customFormat="1" x14ac:dyDescent="0.15">
      <c r="A954" s="383"/>
      <c r="B954">
        <v>1817000780</v>
      </c>
      <c r="D954" s="278" t="s">
        <v>2161</v>
      </c>
      <c r="E954" s="183"/>
      <c r="F954" s="157">
        <v>0</v>
      </c>
      <c r="G954" s="166"/>
      <c r="H954" s="157">
        <v>90000</v>
      </c>
      <c r="I954" s="166"/>
      <c r="J954" s="157">
        <v>0</v>
      </c>
      <c r="K954" s="383"/>
    </row>
    <row r="955" spans="1:11" x14ac:dyDescent="0.15">
      <c r="A955" s="383"/>
      <c r="B955">
        <v>1817000980</v>
      </c>
      <c r="D955" s="278" t="s">
        <v>987</v>
      </c>
      <c r="F955" s="157">
        <v>655000</v>
      </c>
      <c r="H955" s="157">
        <v>655000</v>
      </c>
      <c r="J955" s="157">
        <v>692453.5</v>
      </c>
      <c r="K955" s="383"/>
    </row>
    <row r="956" spans="1:11" x14ac:dyDescent="0.15">
      <c r="A956" s="383"/>
      <c r="B956">
        <v>1817100110</v>
      </c>
      <c r="D956" s="278" t="s">
        <v>1881</v>
      </c>
      <c r="F956" s="157">
        <v>196095</v>
      </c>
      <c r="H956" s="157">
        <v>181386</v>
      </c>
      <c r="J956" s="157">
        <v>179738.41</v>
      </c>
      <c r="K956" s="383"/>
    </row>
    <row r="957" spans="1:11" x14ac:dyDescent="0.15">
      <c r="A957" s="383"/>
      <c r="B957">
        <v>1817100750</v>
      </c>
      <c r="D957" s="278" t="s">
        <v>1882</v>
      </c>
      <c r="F957" s="157">
        <v>2166765</v>
      </c>
      <c r="H957" s="157">
        <v>2144728</v>
      </c>
      <c r="J957" s="157">
        <v>2165900.4700000002</v>
      </c>
      <c r="K957" s="383"/>
    </row>
    <row r="958" spans="1:11" x14ac:dyDescent="0.15">
      <c r="A958" s="383"/>
      <c r="B958">
        <v>1817200110</v>
      </c>
      <c r="D958" s="278" t="s">
        <v>1883</v>
      </c>
      <c r="F958" s="157">
        <v>265353</v>
      </c>
      <c r="H958" s="157">
        <v>261394</v>
      </c>
      <c r="J958" s="157">
        <v>253495</v>
      </c>
      <c r="K958" s="383"/>
    </row>
    <row r="959" spans="1:11" x14ac:dyDescent="0.15">
      <c r="A959" s="383"/>
      <c r="B959">
        <v>1817200540</v>
      </c>
      <c r="D959" s="278" t="s">
        <v>989</v>
      </c>
      <c r="F959" s="157">
        <v>4250</v>
      </c>
      <c r="H959" s="157">
        <v>4848</v>
      </c>
      <c r="J959" s="157">
        <v>4709.49</v>
      </c>
      <c r="K959" s="383"/>
    </row>
    <row r="960" spans="1:11" x14ac:dyDescent="0.15">
      <c r="A960" s="383"/>
      <c r="B960">
        <v>1817200780</v>
      </c>
      <c r="D960" s="278" t="s">
        <v>1884</v>
      </c>
      <c r="F960" s="157">
        <v>0</v>
      </c>
      <c r="H960" s="157">
        <v>0</v>
      </c>
      <c r="J960" s="157">
        <v>0</v>
      </c>
      <c r="K960" s="383"/>
    </row>
    <row r="961" spans="1:11" x14ac:dyDescent="0.15">
      <c r="A961" s="383"/>
      <c r="B961">
        <v>1817300110</v>
      </c>
      <c r="D961" s="278" t="s">
        <v>523</v>
      </c>
      <c r="F961" s="157">
        <v>2619659</v>
      </c>
      <c r="H961" s="157">
        <v>2272698</v>
      </c>
      <c r="J961" s="157">
        <v>2285776.86</v>
      </c>
      <c r="K961" s="383"/>
    </row>
    <row r="962" spans="1:11" x14ac:dyDescent="0.15">
      <c r="A962" s="383"/>
      <c r="B962">
        <v>1817300430</v>
      </c>
      <c r="D962" s="278" t="s">
        <v>839</v>
      </c>
      <c r="F962" s="157">
        <v>25491</v>
      </c>
      <c r="H962" s="157">
        <v>24497.33</v>
      </c>
      <c r="J962" s="157">
        <v>21593.27</v>
      </c>
      <c r="K962" s="383"/>
    </row>
    <row r="963" spans="1:11" x14ac:dyDescent="0.15">
      <c r="A963" s="383"/>
      <c r="B963">
        <v>1817300470</v>
      </c>
      <c r="D963" s="278" t="s">
        <v>820</v>
      </c>
      <c r="F963" s="157">
        <v>3500</v>
      </c>
      <c r="H963" s="157">
        <v>3000</v>
      </c>
      <c r="J963" s="157">
        <v>2311.5700000000002</v>
      </c>
      <c r="K963" s="383"/>
    </row>
    <row r="964" spans="1:11" x14ac:dyDescent="0.15">
      <c r="A964" s="383"/>
      <c r="B964">
        <v>1817300511</v>
      </c>
      <c r="D964" s="278" t="s">
        <v>697</v>
      </c>
      <c r="F964" s="157">
        <v>4000</v>
      </c>
      <c r="H964" s="157">
        <v>3204</v>
      </c>
      <c r="J964" s="157">
        <v>1241.51</v>
      </c>
      <c r="K964" s="383"/>
    </row>
    <row r="965" spans="1:11" x14ac:dyDescent="0.15">
      <c r="A965" s="383"/>
      <c r="B965">
        <v>1817300521</v>
      </c>
      <c r="D965" s="278" t="s">
        <v>1885</v>
      </c>
      <c r="F965" s="157">
        <v>50000</v>
      </c>
      <c r="H965" s="157">
        <v>50000</v>
      </c>
      <c r="J965" s="157">
        <v>31537.85</v>
      </c>
      <c r="K965" s="383"/>
    </row>
    <row r="966" spans="1:11" x14ac:dyDescent="0.15">
      <c r="A966" s="383"/>
      <c r="B966">
        <v>1817300540</v>
      </c>
      <c r="D966" s="278" t="s">
        <v>875</v>
      </c>
      <c r="F966" s="157">
        <v>3000</v>
      </c>
      <c r="H966" s="157">
        <v>3000</v>
      </c>
      <c r="J966" s="157">
        <v>3900.27</v>
      </c>
      <c r="K966" s="383"/>
    </row>
    <row r="967" spans="1:11" x14ac:dyDescent="0.15">
      <c r="A967" s="383"/>
      <c r="B967">
        <v>1817300581</v>
      </c>
      <c r="D967" s="278" t="s">
        <v>1886</v>
      </c>
      <c r="F967" s="157">
        <v>2000</v>
      </c>
      <c r="H967" s="157">
        <v>1680</v>
      </c>
      <c r="J967" s="157">
        <v>2041.8</v>
      </c>
      <c r="K967" s="383"/>
    </row>
    <row r="968" spans="1:11" x14ac:dyDescent="0.15">
      <c r="A968" s="383"/>
      <c r="B968">
        <v>1817300720</v>
      </c>
      <c r="D968" s="278" t="s">
        <v>689</v>
      </c>
      <c r="F968" s="157">
        <v>1000</v>
      </c>
      <c r="H968" s="157">
        <v>700</v>
      </c>
      <c r="J968" s="157">
        <v>1013.03</v>
      </c>
      <c r="K968" s="383"/>
    </row>
    <row r="969" spans="1:11" x14ac:dyDescent="0.15">
      <c r="A969" s="383"/>
      <c r="B969">
        <v>1817300750</v>
      </c>
      <c r="D969" s="278" t="s">
        <v>714</v>
      </c>
      <c r="F969" s="157">
        <v>35000</v>
      </c>
      <c r="H969" s="157">
        <v>33066</v>
      </c>
      <c r="J969" s="157">
        <v>21692.21</v>
      </c>
      <c r="K969" s="383"/>
    </row>
    <row r="970" spans="1:11" s="182" customFormat="1" x14ac:dyDescent="0.15">
      <c r="A970" s="383"/>
      <c r="B970">
        <v>1817300780</v>
      </c>
      <c r="D970" s="278" t="s">
        <v>580</v>
      </c>
      <c r="E970" s="183"/>
      <c r="F970" s="157">
        <v>1500</v>
      </c>
      <c r="G970" s="166"/>
      <c r="H970" s="157">
        <v>1030</v>
      </c>
      <c r="I970" s="166"/>
      <c r="J970" s="157">
        <v>3849.6</v>
      </c>
      <c r="K970" s="383"/>
    </row>
    <row r="971" spans="1:11" x14ac:dyDescent="0.15">
      <c r="A971" s="383"/>
      <c r="B971">
        <v>1817300930</v>
      </c>
      <c r="D971" s="278" t="s">
        <v>1887</v>
      </c>
      <c r="F971" s="157">
        <v>11000</v>
      </c>
      <c r="H971" s="157">
        <v>11000</v>
      </c>
      <c r="J971" s="157">
        <v>2129</v>
      </c>
      <c r="K971" s="383"/>
    </row>
    <row r="972" spans="1:11" x14ac:dyDescent="0.15">
      <c r="A972" s="383"/>
      <c r="B972">
        <v>1817304110</v>
      </c>
      <c r="D972" s="278" t="s">
        <v>1888</v>
      </c>
      <c r="F972" s="157">
        <v>226153</v>
      </c>
      <c r="H972" s="157">
        <v>215454</v>
      </c>
      <c r="J972" s="157">
        <v>213394.38</v>
      </c>
      <c r="K972" s="383"/>
    </row>
    <row r="973" spans="1:11" x14ac:dyDescent="0.15">
      <c r="A973" s="383"/>
      <c r="B973">
        <v>1817500760</v>
      </c>
      <c r="D973" s="278" t="s">
        <v>992</v>
      </c>
      <c r="F973" s="157">
        <v>306838</v>
      </c>
      <c r="H973" s="157">
        <v>350000</v>
      </c>
      <c r="J973" s="157">
        <v>317961</v>
      </c>
      <c r="K973" s="383"/>
    </row>
    <row r="974" spans="1:11" x14ac:dyDescent="0.15">
      <c r="A974" s="383"/>
      <c r="B974">
        <v>1817600110</v>
      </c>
      <c r="D974" s="278" t="s">
        <v>523</v>
      </c>
      <c r="F974" s="157">
        <v>220000</v>
      </c>
      <c r="H974" s="157">
        <v>384228</v>
      </c>
      <c r="J974" s="157">
        <v>371863.58</v>
      </c>
      <c r="K974" s="383"/>
    </row>
    <row r="975" spans="1:11" x14ac:dyDescent="0.15">
      <c r="A975" s="383"/>
      <c r="B975">
        <v>1817600980</v>
      </c>
      <c r="D975" s="278" t="s">
        <v>993</v>
      </c>
      <c r="F975" s="157">
        <v>990554</v>
      </c>
      <c r="H975" s="157">
        <v>990554</v>
      </c>
      <c r="J975" s="157">
        <v>532196.5</v>
      </c>
      <c r="K975" s="383"/>
    </row>
    <row r="976" spans="1:11" x14ac:dyDescent="0.15">
      <c r="A976" s="383"/>
      <c r="B976">
        <v>1817622210</v>
      </c>
      <c r="D976" s="278" t="s">
        <v>938</v>
      </c>
      <c r="F976" s="157">
        <v>356514</v>
      </c>
      <c r="H976" s="157">
        <v>317307</v>
      </c>
      <c r="J976" s="157">
        <v>492416.62</v>
      </c>
      <c r="K976" s="383"/>
    </row>
    <row r="977" spans="1:11" x14ac:dyDescent="0.15">
      <c r="A977" s="383"/>
      <c r="B977">
        <v>1817700110</v>
      </c>
      <c r="D977" s="278" t="s">
        <v>1889</v>
      </c>
      <c r="F977" s="157">
        <v>1010760</v>
      </c>
      <c r="H977" s="157">
        <v>955838</v>
      </c>
      <c r="J977" s="157">
        <v>899979.16</v>
      </c>
      <c r="K977" s="383"/>
    </row>
    <row r="978" spans="1:11" x14ac:dyDescent="0.15">
      <c r="A978" s="383"/>
      <c r="B978">
        <v>1817700780</v>
      </c>
      <c r="D978" s="278" t="s">
        <v>1712</v>
      </c>
      <c r="F978" s="157">
        <v>3500</v>
      </c>
      <c r="H978" s="157">
        <v>3500</v>
      </c>
      <c r="J978" s="157">
        <v>2819.7</v>
      </c>
      <c r="K978" s="383"/>
    </row>
    <row r="979" spans="1:11" x14ac:dyDescent="0.15">
      <c r="A979" s="383"/>
      <c r="B979">
        <v>1817701110</v>
      </c>
      <c r="D979" s="278" t="s">
        <v>940</v>
      </c>
      <c r="F979" s="157">
        <v>223368</v>
      </c>
      <c r="H979" s="157">
        <v>207433</v>
      </c>
      <c r="J979" s="157">
        <v>197760.43</v>
      </c>
      <c r="K979" s="383"/>
    </row>
    <row r="980" spans="1:11" x14ac:dyDescent="0.15">
      <c r="A980" s="383"/>
      <c r="B980">
        <v>1817710110</v>
      </c>
      <c r="D980" s="278" t="s">
        <v>941</v>
      </c>
      <c r="F980" s="157">
        <v>30048</v>
      </c>
      <c r="H980" s="157">
        <v>29732</v>
      </c>
      <c r="J980" s="157">
        <v>16824.77</v>
      </c>
      <c r="K980" s="383"/>
    </row>
    <row r="981" spans="1:11" x14ac:dyDescent="0.15">
      <c r="A981" s="383"/>
      <c r="B981">
        <v>1817710721</v>
      </c>
      <c r="D981" s="278" t="s">
        <v>994</v>
      </c>
      <c r="F981" s="157">
        <v>215000</v>
      </c>
      <c r="H981" s="157">
        <v>215000</v>
      </c>
      <c r="J981" s="157">
        <v>292885.67</v>
      </c>
      <c r="K981" s="383"/>
    </row>
    <row r="982" spans="1:11" s="182" customFormat="1" x14ac:dyDescent="0.15">
      <c r="A982" s="383"/>
      <c r="B982">
        <v>1817711110</v>
      </c>
      <c r="D982" s="278" t="s">
        <v>942</v>
      </c>
      <c r="E982" s="183"/>
      <c r="F982" s="157">
        <v>0</v>
      </c>
      <c r="G982" s="166"/>
      <c r="H982" s="157">
        <v>0</v>
      </c>
      <c r="I982" s="166"/>
      <c r="J982" s="157">
        <v>8921.07</v>
      </c>
      <c r="K982" s="383"/>
    </row>
    <row r="983" spans="1:11" x14ac:dyDescent="0.15">
      <c r="A983" s="383"/>
      <c r="B983">
        <v>1817727110</v>
      </c>
      <c r="D983" s="278" t="s">
        <v>943</v>
      </c>
      <c r="F983" s="157">
        <v>67313</v>
      </c>
      <c r="H983" s="157">
        <v>51077</v>
      </c>
      <c r="J983" s="157">
        <v>51500.02</v>
      </c>
      <c r="K983" s="383"/>
    </row>
    <row r="984" spans="1:11" s="182" customFormat="1" x14ac:dyDescent="0.15">
      <c r="A984" s="383"/>
      <c r="B984">
        <v>1817728110</v>
      </c>
      <c r="D984" s="278" t="s">
        <v>944</v>
      </c>
      <c r="E984" s="183"/>
      <c r="F984" s="157">
        <v>163314</v>
      </c>
      <c r="G984" s="166"/>
      <c r="H984" s="157">
        <v>131855</v>
      </c>
      <c r="I984" s="166"/>
      <c r="J984" s="157">
        <v>136036.12</v>
      </c>
      <c r="K984" s="383"/>
    </row>
    <row r="985" spans="1:11" x14ac:dyDescent="0.15">
      <c r="A985" s="383"/>
      <c r="B985">
        <v>1817800110</v>
      </c>
      <c r="D985" s="278" t="s">
        <v>1159</v>
      </c>
      <c r="F985" s="157">
        <v>133813</v>
      </c>
      <c r="H985" s="157">
        <v>0</v>
      </c>
      <c r="J985" s="157">
        <v>16341.72</v>
      </c>
      <c r="K985" s="383"/>
    </row>
    <row r="986" spans="1:11" s="182" customFormat="1" x14ac:dyDescent="0.15">
      <c r="A986" s="383"/>
      <c r="B986">
        <v>1817800210</v>
      </c>
      <c r="D986" s="278" t="s">
        <v>945</v>
      </c>
      <c r="E986" s="183"/>
      <c r="F986" s="157">
        <v>2947748</v>
      </c>
      <c r="G986" s="166"/>
      <c r="H986" s="157">
        <v>2460028</v>
      </c>
      <c r="I986" s="166"/>
      <c r="J986" s="157">
        <v>2509953.2000000002</v>
      </c>
      <c r="K986" s="383"/>
    </row>
    <row r="987" spans="1:11" x14ac:dyDescent="0.15">
      <c r="A987" s="383"/>
      <c r="B987">
        <v>1817800510</v>
      </c>
      <c r="D987" s="278" t="s">
        <v>995</v>
      </c>
      <c r="F987" s="157">
        <v>6542000</v>
      </c>
      <c r="H987" s="157">
        <v>5879876</v>
      </c>
      <c r="J987" s="157">
        <v>6106836.6699999999</v>
      </c>
      <c r="K987" s="383"/>
    </row>
    <row r="988" spans="1:11" x14ac:dyDescent="0.15">
      <c r="A988" s="383"/>
      <c r="B988">
        <v>1817900110</v>
      </c>
      <c r="D988" s="278" t="s">
        <v>523</v>
      </c>
      <c r="F988" s="157">
        <v>238684</v>
      </c>
      <c r="H988" s="157">
        <v>198567</v>
      </c>
      <c r="J988" s="157">
        <v>195549.09</v>
      </c>
      <c r="K988" s="383"/>
    </row>
    <row r="989" spans="1:11" x14ac:dyDescent="0.15">
      <c r="A989" s="383"/>
      <c r="B989">
        <v>1817900430</v>
      </c>
      <c r="D989" s="278" t="s">
        <v>996</v>
      </c>
      <c r="F989" s="157">
        <v>6000</v>
      </c>
      <c r="H989" s="157">
        <v>6000</v>
      </c>
      <c r="J989" s="157">
        <v>4994.38</v>
      </c>
      <c r="K989" s="383"/>
    </row>
    <row r="990" spans="1:11" x14ac:dyDescent="0.15">
      <c r="A990" s="383"/>
      <c r="B990">
        <v>1817900540</v>
      </c>
      <c r="D990" s="278" t="s">
        <v>997</v>
      </c>
      <c r="F990" s="157">
        <v>4200</v>
      </c>
      <c r="H990" s="157">
        <v>4200</v>
      </c>
      <c r="J990" s="157">
        <v>4100.42</v>
      </c>
      <c r="K990" s="383"/>
    </row>
    <row r="991" spans="1:11" x14ac:dyDescent="0.15">
      <c r="A991" s="383"/>
      <c r="B991">
        <v>1817900780</v>
      </c>
      <c r="D991" s="278" t="s">
        <v>580</v>
      </c>
      <c r="F991" s="157">
        <v>17500</v>
      </c>
      <c r="H991" s="157">
        <v>17500</v>
      </c>
      <c r="J991" s="157">
        <v>24991.77</v>
      </c>
      <c r="K991" s="383"/>
    </row>
    <row r="992" spans="1:11" s="182" customFormat="1" x14ac:dyDescent="0.15">
      <c r="A992" s="383"/>
      <c r="B992">
        <v>1817900910</v>
      </c>
      <c r="D992" s="278" t="s">
        <v>704</v>
      </c>
      <c r="E992" s="183"/>
      <c r="F992" s="157">
        <v>85000</v>
      </c>
      <c r="G992" s="166"/>
      <c r="H992" s="157">
        <v>85000</v>
      </c>
      <c r="I992" s="166"/>
      <c r="J992" s="157">
        <v>133226</v>
      </c>
      <c r="K992" s="383"/>
    </row>
    <row r="993" spans="1:11" s="182" customFormat="1" x14ac:dyDescent="0.15">
      <c r="A993" s="383"/>
      <c r="B993">
        <v>1817900930</v>
      </c>
      <c r="D993" s="278" t="s">
        <v>579</v>
      </c>
      <c r="E993" s="183"/>
      <c r="F993" s="157">
        <v>7500</v>
      </c>
      <c r="G993" s="166"/>
      <c r="H993" s="157">
        <v>7500</v>
      </c>
      <c r="I993" s="166"/>
      <c r="J993" s="157">
        <v>0</v>
      </c>
      <c r="K993" s="383"/>
    </row>
    <row r="994" spans="1:11" s="182" customFormat="1" x14ac:dyDescent="0.15">
      <c r="A994" s="383"/>
      <c r="B994">
        <v>1817904110</v>
      </c>
      <c r="D994" s="278" t="s">
        <v>1890</v>
      </c>
      <c r="E994" s="183"/>
      <c r="F994" s="157">
        <v>227479</v>
      </c>
      <c r="G994" s="166"/>
      <c r="H994" s="157">
        <v>199971</v>
      </c>
      <c r="I994" s="166"/>
      <c r="J994" s="157">
        <v>194207.87</v>
      </c>
      <c r="K994" s="383"/>
    </row>
    <row r="995" spans="1:11" s="182" customFormat="1" x14ac:dyDescent="0.15">
      <c r="A995" s="383"/>
      <c r="B995">
        <v>1817922780</v>
      </c>
      <c r="D995" s="278" t="s">
        <v>1891</v>
      </c>
      <c r="E995" s="183"/>
      <c r="F995" s="157">
        <v>26271</v>
      </c>
      <c r="G995" s="166"/>
      <c r="H995" s="157">
        <v>26271</v>
      </c>
      <c r="I995" s="166"/>
      <c r="J995" s="157">
        <v>32109</v>
      </c>
      <c r="K995" s="383"/>
    </row>
    <row r="996" spans="1:11" s="182" customFormat="1" x14ac:dyDescent="0.15">
      <c r="A996" s="383"/>
      <c r="B996">
        <v>1817950210</v>
      </c>
      <c r="D996" s="278" t="s">
        <v>947</v>
      </c>
      <c r="E996" s="183"/>
      <c r="F996" s="157">
        <v>1849163</v>
      </c>
      <c r="G996" s="166"/>
      <c r="H996" s="157">
        <v>1869520</v>
      </c>
      <c r="I996" s="166"/>
      <c r="J996" s="157">
        <v>1585201.5</v>
      </c>
      <c r="K996" s="383"/>
    </row>
    <row r="997" spans="1:11" s="182" customFormat="1" x14ac:dyDescent="0.15">
      <c r="A997" s="383"/>
      <c r="B997">
        <v>1817950430</v>
      </c>
      <c r="D997" s="278" t="s">
        <v>1892</v>
      </c>
      <c r="E997" s="183"/>
      <c r="F997" s="157">
        <v>39991</v>
      </c>
      <c r="G997" s="166"/>
      <c r="H997" s="157">
        <v>39991</v>
      </c>
      <c r="I997" s="166"/>
      <c r="J997" s="157">
        <v>41651.57</v>
      </c>
      <c r="K997" s="383"/>
    </row>
    <row r="998" spans="1:11" s="182" customFormat="1" x14ac:dyDescent="0.15">
      <c r="A998" s="383"/>
      <c r="B998">
        <v>1817950540</v>
      </c>
      <c r="D998" s="278" t="s">
        <v>1893</v>
      </c>
      <c r="E998" s="183"/>
      <c r="F998" s="157">
        <v>33360</v>
      </c>
      <c r="G998" s="166"/>
      <c r="H998" s="157">
        <v>33360</v>
      </c>
      <c r="I998" s="166"/>
      <c r="J998" s="157">
        <v>39584.15</v>
      </c>
      <c r="K998" s="383"/>
    </row>
    <row r="999" spans="1:11" s="182" customFormat="1" x14ac:dyDescent="0.15">
      <c r="A999" s="383"/>
      <c r="B999">
        <v>1817950750</v>
      </c>
      <c r="D999" s="278" t="s">
        <v>1001</v>
      </c>
      <c r="E999" s="183"/>
      <c r="F999" s="157">
        <v>108000</v>
      </c>
      <c r="G999" s="166"/>
      <c r="H999" s="157">
        <v>108000</v>
      </c>
      <c r="I999" s="166"/>
      <c r="J999" s="157">
        <v>75000</v>
      </c>
      <c r="K999" s="383"/>
    </row>
    <row r="1000" spans="1:11" s="182" customFormat="1" x14ac:dyDescent="0.15">
      <c r="A1000" s="383"/>
      <c r="B1000">
        <v>1817950780</v>
      </c>
      <c r="D1000" s="278" t="s">
        <v>172</v>
      </c>
      <c r="E1000" s="183"/>
      <c r="F1000" s="157">
        <v>0</v>
      </c>
      <c r="G1000" s="166"/>
      <c r="H1000" s="157">
        <v>0</v>
      </c>
      <c r="I1000" s="166"/>
      <c r="J1000" s="157">
        <v>0</v>
      </c>
      <c r="K1000" s="383"/>
    </row>
    <row r="1001" spans="1:11" s="182" customFormat="1" x14ac:dyDescent="0.15">
      <c r="A1001" s="383"/>
      <c r="B1001">
        <v>1817950980</v>
      </c>
      <c r="D1001" s="278" t="s">
        <v>1002</v>
      </c>
      <c r="E1001" s="183"/>
      <c r="F1001" s="157">
        <v>190000</v>
      </c>
      <c r="G1001" s="166"/>
      <c r="H1001" s="157">
        <v>195000</v>
      </c>
      <c r="I1001" s="166"/>
      <c r="J1001" s="157">
        <v>192586.09</v>
      </c>
      <c r="K1001" s="383"/>
    </row>
    <row r="1002" spans="1:11" s="182" customFormat="1" x14ac:dyDescent="0.15">
      <c r="A1002" s="383"/>
      <c r="B1002">
        <v>1817951110</v>
      </c>
      <c r="D1002" s="278" t="s">
        <v>948</v>
      </c>
      <c r="E1002" s="183"/>
      <c r="F1002" s="157">
        <v>186220</v>
      </c>
      <c r="G1002" s="166"/>
      <c r="H1002" s="157">
        <v>193829</v>
      </c>
      <c r="I1002" s="166"/>
      <c r="J1002" s="157">
        <v>155846.23000000001</v>
      </c>
      <c r="K1002" s="383"/>
    </row>
    <row r="1003" spans="1:11" s="182" customFormat="1" x14ac:dyDescent="0.15">
      <c r="A1003" s="383"/>
      <c r="B1003">
        <v>1817960110</v>
      </c>
      <c r="D1003" s="278" t="s">
        <v>949</v>
      </c>
      <c r="E1003" s="183"/>
      <c r="F1003" s="157">
        <v>1219895</v>
      </c>
      <c r="G1003" s="166"/>
      <c r="H1003" s="157">
        <v>1036120</v>
      </c>
      <c r="I1003" s="166"/>
      <c r="J1003" s="157">
        <v>1072069.55</v>
      </c>
      <c r="K1003" s="383"/>
    </row>
    <row r="1004" spans="1:11" x14ac:dyDescent="0.15">
      <c r="A1004" s="383"/>
      <c r="B1004">
        <v>1817960430</v>
      </c>
      <c r="D1004" s="278" t="s">
        <v>1003</v>
      </c>
      <c r="F1004" s="157">
        <v>11000</v>
      </c>
      <c r="H1004" s="157">
        <v>11000</v>
      </c>
      <c r="J1004" s="157">
        <v>4916.5</v>
      </c>
      <c r="K1004" s="383"/>
    </row>
    <row r="1005" spans="1:11" x14ac:dyDescent="0.15">
      <c r="A1005" s="383"/>
      <c r="B1005">
        <v>1817960540</v>
      </c>
      <c r="D1005" s="278" t="s">
        <v>1004</v>
      </c>
      <c r="F1005" s="157">
        <v>360</v>
      </c>
      <c r="H1005" s="157">
        <v>360</v>
      </c>
      <c r="J1005" s="157">
        <v>410.63</v>
      </c>
      <c r="K1005" s="383"/>
    </row>
    <row r="1006" spans="1:11" x14ac:dyDescent="0.15">
      <c r="A1006" s="383"/>
      <c r="B1006">
        <v>1817960780</v>
      </c>
      <c r="D1006" s="278" t="s">
        <v>1005</v>
      </c>
      <c r="F1006" s="157">
        <v>1656</v>
      </c>
      <c r="H1006" s="157">
        <v>1656</v>
      </c>
      <c r="J1006" s="157">
        <v>2226.2600000000002</v>
      </c>
      <c r="K1006" s="383"/>
    </row>
    <row r="1007" spans="1:11" x14ac:dyDescent="0.15">
      <c r="A1007" s="383"/>
      <c r="B1007">
        <v>1817960781</v>
      </c>
      <c r="D1007" s="278" t="s">
        <v>1006</v>
      </c>
      <c r="F1007" s="157">
        <v>55000</v>
      </c>
      <c r="H1007" s="157">
        <v>55000</v>
      </c>
      <c r="J1007" s="157">
        <v>52827.09</v>
      </c>
      <c r="K1007" s="383"/>
    </row>
    <row r="1008" spans="1:11" s="182" customFormat="1" x14ac:dyDescent="0.15">
      <c r="A1008" s="383"/>
      <c r="B1008">
        <v>1817961110</v>
      </c>
      <c r="D1008" s="278" t="s">
        <v>950</v>
      </c>
      <c r="E1008" s="183"/>
      <c r="F1008" s="157">
        <v>109514</v>
      </c>
      <c r="G1008" s="166"/>
      <c r="H1008" s="157">
        <v>103142</v>
      </c>
      <c r="I1008" s="166"/>
      <c r="J1008" s="157">
        <v>104025.86</v>
      </c>
      <c r="K1008" s="383"/>
    </row>
    <row r="1009" spans="1:11" s="182" customFormat="1" x14ac:dyDescent="0.15">
      <c r="A1009" s="383"/>
      <c r="B1009">
        <v>1819950210</v>
      </c>
      <c r="D1009" s="278" t="s">
        <v>1248</v>
      </c>
      <c r="E1009" s="183"/>
      <c r="F1009" s="157">
        <v>0</v>
      </c>
      <c r="G1009" s="166"/>
      <c r="H1009" s="157">
        <v>0</v>
      </c>
      <c r="I1009" s="166"/>
      <c r="J1009" s="157">
        <v>0</v>
      </c>
      <c r="K1009" s="383"/>
    </row>
    <row r="1010" spans="1:11" x14ac:dyDescent="0.15">
      <c r="A1010" s="383"/>
      <c r="B1010">
        <v>1819951210</v>
      </c>
      <c r="D1010" s="278" t="s">
        <v>952</v>
      </c>
      <c r="F1010" s="157">
        <v>33208</v>
      </c>
      <c r="H1010" s="157">
        <v>39807</v>
      </c>
      <c r="J1010" s="157">
        <v>38255.74</v>
      </c>
      <c r="K1010" s="383"/>
    </row>
    <row r="1011" spans="1:11" x14ac:dyDescent="0.15">
      <c r="A1011" s="383"/>
      <c r="B1011">
        <v>1819999110</v>
      </c>
      <c r="D1011" s="278" t="s">
        <v>919</v>
      </c>
      <c r="F1011" s="157">
        <v>137276</v>
      </c>
      <c r="H1011" s="157">
        <v>252843</v>
      </c>
      <c r="J1011" s="157">
        <v>218156.3</v>
      </c>
      <c r="K1011" s="383"/>
    </row>
    <row r="1012" spans="1:11" x14ac:dyDescent="0.15">
      <c r="A1012" s="383"/>
      <c r="B1012">
        <v>1819999210</v>
      </c>
      <c r="D1012" s="278" t="s">
        <v>1489</v>
      </c>
      <c r="F1012" s="157">
        <v>338612</v>
      </c>
      <c r="H1012" s="157">
        <v>123431</v>
      </c>
      <c r="J1012" s="157">
        <v>339635.57</v>
      </c>
      <c r="K1012" s="383"/>
    </row>
    <row r="1013" spans="1:11" x14ac:dyDescent="0.15">
      <c r="A1013" s="383"/>
      <c r="B1013">
        <v>1819999780</v>
      </c>
      <c r="D1013" s="278" t="s">
        <v>1007</v>
      </c>
      <c r="F1013" s="157">
        <v>213595</v>
      </c>
      <c r="H1013" s="157">
        <v>219710</v>
      </c>
      <c r="J1013" s="157">
        <v>16500</v>
      </c>
      <c r="K1013" s="383"/>
    </row>
    <row r="1014" spans="1:11" ht="14" thickBot="1" x14ac:dyDescent="0.2">
      <c r="A1014" s="383"/>
      <c r="B1014">
        <v>1819999999</v>
      </c>
      <c r="D1014" s="279" t="s">
        <v>173</v>
      </c>
      <c r="F1014" s="158">
        <v>0</v>
      </c>
      <c r="H1014" s="158">
        <v>0</v>
      </c>
      <c r="J1014" s="158">
        <v>0</v>
      </c>
      <c r="K1014" s="383"/>
    </row>
    <row r="1015" spans="1:11" x14ac:dyDescent="0.15">
      <c r="A1015" s="383"/>
      <c r="D1015" s="283" t="s">
        <v>1249</v>
      </c>
      <c r="F1015" s="169">
        <v>138052070.19999999</v>
      </c>
      <c r="G1015" s="169">
        <v>0</v>
      </c>
      <c r="H1015" s="169">
        <v>132557052.42</v>
      </c>
      <c r="I1015" s="169">
        <v>0</v>
      </c>
      <c r="J1015" s="169">
        <v>125689304.51999994</v>
      </c>
      <c r="K1015" s="383"/>
    </row>
    <row r="1016" spans="1:11" s="182" customFormat="1" x14ac:dyDescent="0.15">
      <c r="A1016" s="383"/>
      <c r="B1016" s="182">
        <v>1822000110</v>
      </c>
      <c r="D1016" s="278" t="s">
        <v>1150</v>
      </c>
      <c r="E1016" s="183"/>
      <c r="F1016" s="157">
        <v>0</v>
      </c>
      <c r="G1016" s="166"/>
      <c r="H1016" s="157">
        <v>0</v>
      </c>
      <c r="I1016" s="169"/>
      <c r="J1016" s="157">
        <v>20.39</v>
      </c>
      <c r="K1016" s="383"/>
    </row>
    <row r="1017" spans="1:11" x14ac:dyDescent="0.15">
      <c r="A1017" s="383"/>
      <c r="B1017">
        <v>1822000750</v>
      </c>
      <c r="D1017" s="278" t="s">
        <v>828</v>
      </c>
      <c r="F1017" s="157">
        <v>180000</v>
      </c>
      <c r="H1017" s="157">
        <v>171000</v>
      </c>
      <c r="J1017" s="157">
        <v>167264.04999999999</v>
      </c>
      <c r="K1017" s="383"/>
    </row>
    <row r="1018" spans="1:11" x14ac:dyDescent="0.15">
      <c r="A1018" s="383"/>
      <c r="B1018">
        <v>1822000780</v>
      </c>
      <c r="D1018" s="278" t="s">
        <v>829</v>
      </c>
      <c r="F1018" s="157">
        <v>1953000</v>
      </c>
      <c r="H1018" s="157">
        <v>1992000</v>
      </c>
      <c r="J1018" s="157">
        <v>1868769.94</v>
      </c>
      <c r="K1018" s="383"/>
    </row>
    <row r="1019" spans="1:11" x14ac:dyDescent="0.15">
      <c r="A1019" s="383"/>
      <c r="B1019">
        <v>1822000781</v>
      </c>
      <c r="D1019" s="278" t="s">
        <v>1894</v>
      </c>
      <c r="F1019" s="157">
        <v>140000</v>
      </c>
      <c r="H1019" s="157">
        <v>180000</v>
      </c>
      <c r="J1019" s="157">
        <v>168249.14</v>
      </c>
      <c r="K1019" s="383"/>
    </row>
    <row r="1020" spans="1:11" x14ac:dyDescent="0.15">
      <c r="A1020" s="383"/>
      <c r="B1020">
        <v>1822000782</v>
      </c>
      <c r="D1020" s="278" t="s">
        <v>831</v>
      </c>
      <c r="F1020" s="157">
        <v>849000</v>
      </c>
      <c r="H1020" s="157">
        <v>861000</v>
      </c>
      <c r="J1020" s="157">
        <v>868179.74</v>
      </c>
      <c r="K1020" s="383"/>
    </row>
    <row r="1021" spans="1:11" x14ac:dyDescent="0.15">
      <c r="A1021" s="383"/>
      <c r="B1021">
        <v>1822000783</v>
      </c>
      <c r="D1021" s="278" t="s">
        <v>1895</v>
      </c>
      <c r="F1021" s="157">
        <v>341000</v>
      </c>
      <c r="H1021" s="157">
        <v>338000</v>
      </c>
      <c r="J1021" s="157">
        <v>319969.19</v>
      </c>
      <c r="K1021" s="383"/>
    </row>
    <row r="1022" spans="1:11" x14ac:dyDescent="0.15">
      <c r="A1022" s="383"/>
      <c r="B1022">
        <v>1822000784</v>
      </c>
      <c r="D1022" s="278" t="s">
        <v>833</v>
      </c>
      <c r="F1022" s="157">
        <v>363000</v>
      </c>
      <c r="H1022" s="157">
        <v>353000</v>
      </c>
      <c r="J1022" s="157">
        <v>352771.25</v>
      </c>
      <c r="K1022" s="383"/>
    </row>
    <row r="1023" spans="1:11" x14ac:dyDescent="0.15">
      <c r="A1023" s="383"/>
      <c r="B1023">
        <v>1822000785</v>
      </c>
      <c r="D1023" s="278" t="s">
        <v>834</v>
      </c>
      <c r="F1023" s="157">
        <v>6000</v>
      </c>
      <c r="H1023" s="157">
        <v>6000</v>
      </c>
      <c r="J1023" s="157">
        <v>6682.63</v>
      </c>
      <c r="K1023" s="383"/>
    </row>
    <row r="1024" spans="1:11" x14ac:dyDescent="0.15">
      <c r="A1024" s="383"/>
      <c r="B1024">
        <v>1822000786</v>
      </c>
      <c r="D1024" s="278" t="s">
        <v>835</v>
      </c>
      <c r="F1024" s="157">
        <v>150000</v>
      </c>
      <c r="H1024" s="157">
        <v>146065</v>
      </c>
      <c r="J1024" s="157">
        <v>154096.82</v>
      </c>
      <c r="K1024" s="383"/>
    </row>
    <row r="1025" spans="1:11" x14ac:dyDescent="0.15">
      <c r="A1025" s="383"/>
      <c r="B1025">
        <v>1822000788</v>
      </c>
      <c r="D1025" s="278" t="s">
        <v>174</v>
      </c>
      <c r="F1025" s="157">
        <v>350000</v>
      </c>
      <c r="H1025" s="157">
        <v>350000</v>
      </c>
      <c r="J1025" s="157">
        <v>364837.62</v>
      </c>
      <c r="K1025" s="383"/>
    </row>
    <row r="1026" spans="1:11" x14ac:dyDescent="0.15">
      <c r="A1026" s="383"/>
      <c r="B1026">
        <v>1822300780</v>
      </c>
      <c r="D1026" s="278" t="s">
        <v>837</v>
      </c>
      <c r="F1026" s="157">
        <v>226000</v>
      </c>
      <c r="H1026" s="157">
        <v>319500</v>
      </c>
      <c r="J1026" s="157">
        <v>666876.43999999994</v>
      </c>
      <c r="K1026" s="383"/>
    </row>
    <row r="1027" spans="1:11" s="182" customFormat="1" x14ac:dyDescent="0.15">
      <c r="A1027" s="383"/>
      <c r="B1027">
        <v>1822300781</v>
      </c>
      <c r="D1027" s="278" t="s">
        <v>82</v>
      </c>
      <c r="E1027" s="183"/>
      <c r="F1027" s="157">
        <v>60000</v>
      </c>
      <c r="G1027" s="166"/>
      <c r="H1027" s="157">
        <v>95000</v>
      </c>
      <c r="I1027" s="166"/>
      <c r="J1027" s="157">
        <v>94466.99</v>
      </c>
      <c r="K1027" s="383"/>
    </row>
    <row r="1028" spans="1:11" x14ac:dyDescent="0.15">
      <c r="A1028" s="383"/>
      <c r="B1028">
        <v>1822300782</v>
      </c>
      <c r="D1028" s="278" t="s">
        <v>1461</v>
      </c>
      <c r="F1028" s="157">
        <v>45000</v>
      </c>
      <c r="H1028" s="157">
        <v>30000</v>
      </c>
      <c r="J1028" s="157">
        <v>30000</v>
      </c>
      <c r="K1028" s="383"/>
    </row>
    <row r="1029" spans="1:11" s="182" customFormat="1" x14ac:dyDescent="0.15">
      <c r="A1029" s="383"/>
      <c r="B1029">
        <v>1822300980</v>
      </c>
      <c r="D1029" s="278" t="s">
        <v>2162</v>
      </c>
      <c r="E1029" s="183"/>
      <c r="F1029" s="157">
        <v>94000</v>
      </c>
      <c r="G1029" s="166"/>
      <c r="H1029" s="157">
        <v>94000</v>
      </c>
      <c r="I1029" s="166"/>
      <c r="J1029" s="157">
        <v>0</v>
      </c>
      <c r="K1029" s="383"/>
    </row>
    <row r="1030" spans="1:11" x14ac:dyDescent="0.15">
      <c r="A1030" s="383"/>
      <c r="B1030">
        <v>1822800780</v>
      </c>
      <c r="D1030" s="278" t="s">
        <v>838</v>
      </c>
      <c r="F1030" s="157">
        <v>110000</v>
      </c>
      <c r="H1030" s="157">
        <v>110000</v>
      </c>
      <c r="J1030" s="157">
        <v>110000</v>
      </c>
      <c r="K1030" s="383"/>
    </row>
    <row r="1031" spans="1:11" x14ac:dyDescent="0.15">
      <c r="A1031" s="383"/>
      <c r="B1031">
        <v>1823000110</v>
      </c>
      <c r="D1031" s="278" t="s">
        <v>523</v>
      </c>
      <c r="F1031" s="157">
        <v>566753</v>
      </c>
      <c r="H1031" s="157">
        <v>684652</v>
      </c>
      <c r="J1031" s="157">
        <v>660461.53</v>
      </c>
      <c r="K1031" s="383"/>
    </row>
    <row r="1032" spans="1:11" x14ac:dyDescent="0.15">
      <c r="A1032" s="383"/>
      <c r="B1032">
        <v>1823000210</v>
      </c>
      <c r="D1032" s="278" t="s">
        <v>1896</v>
      </c>
      <c r="F1032" s="157">
        <v>90565</v>
      </c>
      <c r="H1032" s="157">
        <v>61956</v>
      </c>
      <c r="J1032" s="157">
        <v>61483.62</v>
      </c>
      <c r="K1032" s="383"/>
    </row>
    <row r="1033" spans="1:11" x14ac:dyDescent="0.15">
      <c r="A1033" s="383"/>
      <c r="B1033">
        <v>1823000430</v>
      </c>
      <c r="D1033" s="278" t="s">
        <v>839</v>
      </c>
      <c r="F1033" s="157">
        <v>57600</v>
      </c>
      <c r="H1033" s="157">
        <v>67684</v>
      </c>
      <c r="J1033" s="157">
        <v>60002.14</v>
      </c>
      <c r="K1033" s="383"/>
    </row>
    <row r="1034" spans="1:11" s="182" customFormat="1" x14ac:dyDescent="0.15">
      <c r="A1034" s="383"/>
      <c r="B1034">
        <v>1823000511</v>
      </c>
      <c r="D1034" s="278" t="s">
        <v>2163</v>
      </c>
      <c r="E1034" s="183"/>
      <c r="F1034" s="157">
        <v>1500</v>
      </c>
      <c r="G1034" s="166"/>
      <c r="H1034" s="157">
        <v>1000</v>
      </c>
      <c r="I1034" s="166"/>
      <c r="J1034" s="157">
        <v>0</v>
      </c>
      <c r="K1034" s="383"/>
    </row>
    <row r="1035" spans="1:11" x14ac:dyDescent="0.15">
      <c r="A1035" s="383"/>
      <c r="B1035">
        <v>1823000520</v>
      </c>
      <c r="D1035" s="278" t="s">
        <v>841</v>
      </c>
      <c r="F1035" s="157">
        <v>15000</v>
      </c>
      <c r="H1035" s="157">
        <v>18000</v>
      </c>
      <c r="J1035" s="157">
        <v>10424</v>
      </c>
      <c r="K1035" s="383"/>
    </row>
    <row r="1036" spans="1:11" x14ac:dyDescent="0.15">
      <c r="A1036" s="383"/>
      <c r="B1036">
        <v>1823000540</v>
      </c>
      <c r="D1036" s="278" t="s">
        <v>843</v>
      </c>
      <c r="F1036" s="157">
        <v>3480</v>
      </c>
      <c r="H1036" s="157">
        <v>3240</v>
      </c>
      <c r="J1036" s="157">
        <v>3183.59</v>
      </c>
      <c r="K1036" s="383"/>
    </row>
    <row r="1037" spans="1:11" s="182" customFormat="1" x14ac:dyDescent="0.15">
      <c r="A1037" s="383"/>
      <c r="B1037">
        <v>1823000560</v>
      </c>
      <c r="D1037" s="278" t="s">
        <v>844</v>
      </c>
      <c r="E1037" s="183"/>
      <c r="F1037" s="157">
        <v>3000</v>
      </c>
      <c r="G1037" s="166"/>
      <c r="H1037" s="157">
        <v>3000</v>
      </c>
      <c r="I1037" s="166"/>
      <c r="J1037" s="157">
        <v>2900.93</v>
      </c>
      <c r="K1037" s="383"/>
    </row>
    <row r="1038" spans="1:11" x14ac:dyDescent="0.15">
      <c r="A1038" s="383"/>
      <c r="B1038">
        <v>1823000570</v>
      </c>
      <c r="D1038" s="278" t="s">
        <v>1897</v>
      </c>
      <c r="F1038" s="157">
        <v>2400</v>
      </c>
      <c r="H1038" s="157">
        <v>7304.8</v>
      </c>
      <c r="J1038" s="157">
        <v>2500.71</v>
      </c>
      <c r="K1038" s="383"/>
    </row>
    <row r="1039" spans="1:11" s="182" customFormat="1" x14ac:dyDescent="0.15">
      <c r="A1039" s="383"/>
      <c r="B1039">
        <v>1823000581</v>
      </c>
      <c r="D1039" s="278" t="s">
        <v>2047</v>
      </c>
      <c r="E1039" s="183"/>
      <c r="F1039" s="157">
        <v>1500</v>
      </c>
      <c r="G1039" s="166"/>
      <c r="H1039" s="157">
        <v>1500</v>
      </c>
      <c r="I1039" s="166"/>
      <c r="J1039" s="157">
        <v>0</v>
      </c>
      <c r="K1039" s="383"/>
    </row>
    <row r="1040" spans="1:11" x14ac:dyDescent="0.15">
      <c r="A1040" s="383"/>
      <c r="B1040">
        <v>1823000731</v>
      </c>
      <c r="D1040" s="278" t="s">
        <v>1151</v>
      </c>
      <c r="F1040" s="157">
        <v>21000</v>
      </c>
      <c r="H1040" s="157">
        <v>21996</v>
      </c>
      <c r="J1040" s="157">
        <v>19373.78</v>
      </c>
      <c r="K1040" s="383"/>
    </row>
    <row r="1041" spans="1:11" x14ac:dyDescent="0.15">
      <c r="A1041" s="383"/>
      <c r="B1041">
        <v>1823000740</v>
      </c>
      <c r="D1041" s="278" t="s">
        <v>845</v>
      </c>
      <c r="F1041" s="157">
        <v>0</v>
      </c>
      <c r="H1041" s="157">
        <v>0</v>
      </c>
      <c r="J1041" s="157">
        <v>0</v>
      </c>
      <c r="K1041" s="383"/>
    </row>
    <row r="1042" spans="1:11" x14ac:dyDescent="0.15">
      <c r="A1042" s="383"/>
      <c r="B1042">
        <v>1823000750</v>
      </c>
      <c r="D1042" s="278" t="s">
        <v>846</v>
      </c>
      <c r="F1042" s="157">
        <v>15000</v>
      </c>
      <c r="H1042" s="157">
        <v>15700</v>
      </c>
      <c r="J1042" s="157">
        <v>20703.7</v>
      </c>
      <c r="K1042" s="383"/>
    </row>
    <row r="1043" spans="1:11" x14ac:dyDescent="0.15">
      <c r="A1043" s="383"/>
      <c r="B1043">
        <v>1823000780</v>
      </c>
      <c r="D1043" s="278" t="s">
        <v>580</v>
      </c>
      <c r="F1043" s="157">
        <v>20000</v>
      </c>
      <c r="H1043" s="157">
        <v>22500</v>
      </c>
      <c r="J1043" s="157">
        <v>21848.27</v>
      </c>
      <c r="K1043" s="383"/>
    </row>
    <row r="1044" spans="1:11" s="182" customFormat="1" x14ac:dyDescent="0.15">
      <c r="A1044" s="383"/>
      <c r="B1044">
        <v>1823000930</v>
      </c>
      <c r="D1044" s="278" t="s">
        <v>847</v>
      </c>
      <c r="E1044" s="183"/>
      <c r="F1044" s="157">
        <v>8500</v>
      </c>
      <c r="G1044" s="166"/>
      <c r="H1044" s="157">
        <v>12000</v>
      </c>
      <c r="I1044" s="166"/>
      <c r="J1044" s="157">
        <v>1849.08</v>
      </c>
      <c r="K1044" s="383"/>
    </row>
    <row r="1045" spans="1:11" x14ac:dyDescent="0.15">
      <c r="A1045" s="383"/>
      <c r="B1045">
        <v>1824000810</v>
      </c>
      <c r="D1045" s="278" t="s">
        <v>1898</v>
      </c>
      <c r="F1045" s="157">
        <v>4171992</v>
      </c>
      <c r="H1045" s="157">
        <v>4072492</v>
      </c>
      <c r="J1045" s="157">
        <v>3570394</v>
      </c>
      <c r="K1045" s="383"/>
    </row>
    <row r="1046" spans="1:11" x14ac:dyDescent="0.15">
      <c r="A1046" s="383"/>
      <c r="B1046">
        <v>1824000811</v>
      </c>
      <c r="D1046" s="278" t="s">
        <v>177</v>
      </c>
      <c r="F1046" s="157">
        <v>395000</v>
      </c>
      <c r="H1046" s="157">
        <v>431000</v>
      </c>
      <c r="J1046" s="157">
        <v>300000</v>
      </c>
      <c r="K1046" s="383"/>
    </row>
    <row r="1047" spans="1:11" x14ac:dyDescent="0.15">
      <c r="A1047" s="383"/>
      <c r="B1047">
        <v>1824000812</v>
      </c>
      <c r="D1047" s="278" t="s">
        <v>850</v>
      </c>
      <c r="F1047" s="157">
        <v>60000</v>
      </c>
      <c r="H1047" s="157">
        <v>60000</v>
      </c>
      <c r="J1047" s="157">
        <v>79992</v>
      </c>
      <c r="K1047" s="383"/>
    </row>
    <row r="1048" spans="1:11" s="182" customFormat="1" x14ac:dyDescent="0.15">
      <c r="A1048" s="383"/>
      <c r="B1048">
        <v>1824000813</v>
      </c>
      <c r="D1048" s="278" t="s">
        <v>178</v>
      </c>
      <c r="E1048" s="183"/>
      <c r="F1048" s="157">
        <v>156160</v>
      </c>
      <c r="G1048" s="166"/>
      <c r="H1048" s="157">
        <v>156160</v>
      </c>
      <c r="I1048" s="166"/>
      <c r="J1048" s="157">
        <v>206160</v>
      </c>
      <c r="K1048" s="383"/>
    </row>
    <row r="1049" spans="1:11" x14ac:dyDescent="0.15">
      <c r="A1049" s="383"/>
      <c r="B1049">
        <v>1824000814</v>
      </c>
      <c r="D1049" s="278" t="s">
        <v>851</v>
      </c>
      <c r="F1049" s="157">
        <v>10000</v>
      </c>
      <c r="H1049" s="157">
        <v>10000</v>
      </c>
      <c r="J1049" s="157">
        <v>60000</v>
      </c>
      <c r="K1049" s="383"/>
    </row>
    <row r="1050" spans="1:11" x14ac:dyDescent="0.15">
      <c r="A1050" s="383"/>
      <c r="B1050">
        <v>1824000816</v>
      </c>
      <c r="D1050" s="278" t="s">
        <v>1166</v>
      </c>
      <c r="F1050" s="157">
        <v>150000</v>
      </c>
      <c r="H1050" s="157">
        <v>150000</v>
      </c>
      <c r="J1050" s="157">
        <v>80000</v>
      </c>
      <c r="K1050" s="383"/>
    </row>
    <row r="1051" spans="1:11" s="182" customFormat="1" x14ac:dyDescent="0.15">
      <c r="A1051" s="383"/>
      <c r="B1051">
        <v>1824000817</v>
      </c>
      <c r="D1051" s="278" t="s">
        <v>1621</v>
      </c>
      <c r="E1051" s="183"/>
      <c r="F1051" s="157">
        <v>30000</v>
      </c>
      <c r="G1051" s="166"/>
      <c r="H1051" s="157">
        <v>30000</v>
      </c>
      <c r="I1051" s="166"/>
      <c r="J1051" s="157">
        <v>30000</v>
      </c>
      <c r="K1051" s="383"/>
    </row>
    <row r="1052" spans="1:11" s="182" customFormat="1" x14ac:dyDescent="0.15">
      <c r="A1052" s="383"/>
      <c r="B1052">
        <v>1824000818</v>
      </c>
      <c r="D1052" s="278" t="s">
        <v>1622</v>
      </c>
      <c r="E1052" s="183"/>
      <c r="F1052" s="157">
        <v>30000</v>
      </c>
      <c r="G1052" s="166"/>
      <c r="H1052" s="157">
        <v>30000</v>
      </c>
      <c r="I1052" s="166"/>
      <c r="J1052" s="157">
        <v>30000</v>
      </c>
      <c r="K1052" s="383"/>
    </row>
    <row r="1053" spans="1:11" x14ac:dyDescent="0.15">
      <c r="A1053" s="383"/>
      <c r="B1053">
        <v>1825000530</v>
      </c>
      <c r="D1053" s="278" t="s">
        <v>1623</v>
      </c>
      <c r="F1053" s="157">
        <v>58000</v>
      </c>
      <c r="H1053" s="157">
        <v>58190</v>
      </c>
      <c r="J1053" s="157">
        <v>54097.73</v>
      </c>
      <c r="K1053" s="383"/>
    </row>
    <row r="1054" spans="1:11" x14ac:dyDescent="0.15">
      <c r="A1054" s="383"/>
      <c r="B1054">
        <v>1825200110</v>
      </c>
      <c r="D1054" s="278" t="s">
        <v>523</v>
      </c>
      <c r="F1054" s="157">
        <v>2140331</v>
      </c>
      <c r="H1054" s="157">
        <v>2513980</v>
      </c>
      <c r="J1054" s="157">
        <v>2419433.21</v>
      </c>
      <c r="K1054" s="383"/>
    </row>
    <row r="1055" spans="1:11" x14ac:dyDescent="0.15">
      <c r="A1055" s="383"/>
      <c r="B1055">
        <v>1825200210</v>
      </c>
      <c r="D1055" s="278" t="s">
        <v>1899</v>
      </c>
      <c r="F1055" s="157">
        <v>1451941</v>
      </c>
      <c r="H1055" s="157">
        <v>1272001</v>
      </c>
      <c r="J1055" s="157">
        <v>1186503.0900000001</v>
      </c>
      <c r="K1055" s="383"/>
    </row>
    <row r="1056" spans="1:11" x14ac:dyDescent="0.15">
      <c r="A1056" s="383"/>
      <c r="B1056">
        <v>1825200420</v>
      </c>
      <c r="D1056" s="278" t="s">
        <v>852</v>
      </c>
      <c r="F1056" s="157">
        <v>50000</v>
      </c>
      <c r="H1056" s="157">
        <v>70000</v>
      </c>
      <c r="J1056" s="157">
        <v>34140.1</v>
      </c>
      <c r="K1056" s="383"/>
    </row>
    <row r="1057" spans="1:11" x14ac:dyDescent="0.15">
      <c r="A1057" s="383"/>
      <c r="B1057">
        <v>1825200430</v>
      </c>
      <c r="D1057" s="278" t="s">
        <v>853</v>
      </c>
      <c r="F1057" s="157">
        <v>82800</v>
      </c>
      <c r="H1057" s="157">
        <v>85500</v>
      </c>
      <c r="J1057" s="157">
        <v>81996.97</v>
      </c>
      <c r="K1057" s="383"/>
    </row>
    <row r="1058" spans="1:11" x14ac:dyDescent="0.15">
      <c r="A1058" s="383"/>
      <c r="B1058">
        <v>1825200433</v>
      </c>
      <c r="D1058" s="278" t="s">
        <v>854</v>
      </c>
      <c r="F1058" s="157">
        <v>3500</v>
      </c>
      <c r="H1058" s="157">
        <v>8000</v>
      </c>
      <c r="J1058" s="157">
        <v>6003.8</v>
      </c>
      <c r="K1058" s="383"/>
    </row>
    <row r="1059" spans="1:11" x14ac:dyDescent="0.15">
      <c r="A1059" s="383"/>
      <c r="B1059">
        <v>1825200450</v>
      </c>
      <c r="D1059" s="278" t="s">
        <v>855</v>
      </c>
      <c r="F1059" s="157">
        <v>0</v>
      </c>
      <c r="H1059" s="157">
        <v>8000</v>
      </c>
      <c r="J1059" s="157">
        <v>0</v>
      </c>
      <c r="K1059" s="383"/>
    </row>
    <row r="1060" spans="1:11" s="182" customFormat="1" x14ac:dyDescent="0.15">
      <c r="A1060" s="383"/>
      <c r="B1060">
        <v>1825200470</v>
      </c>
      <c r="D1060" s="278" t="s">
        <v>856</v>
      </c>
      <c r="E1060" s="183"/>
      <c r="F1060" s="157">
        <v>1300</v>
      </c>
      <c r="G1060" s="166"/>
      <c r="H1060" s="157">
        <v>1300</v>
      </c>
      <c r="I1060" s="166"/>
      <c r="J1060" s="157">
        <v>978.71</v>
      </c>
      <c r="K1060" s="383"/>
    </row>
    <row r="1061" spans="1:11" x14ac:dyDescent="0.15">
      <c r="A1061" s="383"/>
      <c r="B1061">
        <v>1825200511</v>
      </c>
      <c r="D1061" s="278" t="s">
        <v>1624</v>
      </c>
      <c r="F1061" s="157">
        <v>3500</v>
      </c>
      <c r="H1061" s="157">
        <v>5000</v>
      </c>
      <c r="J1061" s="157">
        <v>1875.37</v>
      </c>
      <c r="K1061" s="383"/>
    </row>
    <row r="1062" spans="1:11" x14ac:dyDescent="0.15">
      <c r="A1062" s="383"/>
      <c r="B1062">
        <v>1825200512</v>
      </c>
      <c r="D1062" s="278" t="s">
        <v>857</v>
      </c>
      <c r="F1062" s="157">
        <v>60000</v>
      </c>
      <c r="H1062" s="157">
        <v>118500</v>
      </c>
      <c r="J1062" s="157">
        <v>31824.240000000002</v>
      </c>
      <c r="K1062" s="383"/>
    </row>
    <row r="1063" spans="1:11" s="182" customFormat="1" x14ac:dyDescent="0.15">
      <c r="A1063" s="383"/>
      <c r="B1063">
        <v>1825200520</v>
      </c>
      <c r="D1063" s="278" t="s">
        <v>858</v>
      </c>
      <c r="E1063" s="183"/>
      <c r="F1063" s="157">
        <v>6000</v>
      </c>
      <c r="G1063" s="166"/>
      <c r="H1063" s="157">
        <v>8000</v>
      </c>
      <c r="I1063" s="166"/>
      <c r="J1063" s="157">
        <v>7881.09</v>
      </c>
      <c r="K1063" s="383"/>
    </row>
    <row r="1064" spans="1:11" x14ac:dyDescent="0.15">
      <c r="A1064" s="383"/>
      <c r="B1064">
        <v>1825200540</v>
      </c>
      <c r="D1064" s="278" t="s">
        <v>859</v>
      </c>
      <c r="F1064" s="157">
        <v>5880</v>
      </c>
      <c r="H1064" s="157">
        <v>5100</v>
      </c>
      <c r="J1064" s="157">
        <v>5415.5</v>
      </c>
      <c r="K1064" s="383"/>
    </row>
    <row r="1065" spans="1:11" x14ac:dyDescent="0.15">
      <c r="A1065" s="383"/>
      <c r="B1065">
        <v>1825200550</v>
      </c>
      <c r="D1065" s="278" t="s">
        <v>860</v>
      </c>
      <c r="F1065" s="157">
        <v>9500</v>
      </c>
      <c r="H1065" s="157">
        <v>9500</v>
      </c>
      <c r="J1065" s="157">
        <v>10138.879999999999</v>
      </c>
      <c r="K1065" s="383"/>
    </row>
    <row r="1066" spans="1:11" x14ac:dyDescent="0.15">
      <c r="A1066" s="383"/>
      <c r="B1066">
        <v>1825200560</v>
      </c>
      <c r="D1066" s="278" t="s">
        <v>861</v>
      </c>
      <c r="F1066" s="157">
        <v>0</v>
      </c>
      <c r="H1066" s="157">
        <v>0</v>
      </c>
      <c r="J1066" s="157">
        <v>415.2</v>
      </c>
      <c r="K1066" s="383"/>
    </row>
    <row r="1067" spans="1:11" s="182" customFormat="1" x14ac:dyDescent="0.15">
      <c r="A1067" s="383"/>
      <c r="B1067">
        <v>1825200570</v>
      </c>
      <c r="D1067" s="278" t="s">
        <v>1625</v>
      </c>
      <c r="E1067" s="183"/>
      <c r="F1067" s="157">
        <v>2400</v>
      </c>
      <c r="G1067" s="166"/>
      <c r="H1067" s="157">
        <v>2400</v>
      </c>
      <c r="I1067" s="166"/>
      <c r="J1067" s="157">
        <v>2506.87</v>
      </c>
      <c r="K1067" s="383"/>
    </row>
    <row r="1068" spans="1:11" x14ac:dyDescent="0.15">
      <c r="A1068" s="383"/>
      <c r="B1068">
        <v>1825200581</v>
      </c>
      <c r="D1068" s="278" t="s">
        <v>1900</v>
      </c>
      <c r="F1068" s="157">
        <v>7104</v>
      </c>
      <c r="H1068" s="157">
        <v>6540</v>
      </c>
      <c r="J1068" s="157">
        <v>5866.55</v>
      </c>
      <c r="K1068" s="383"/>
    </row>
    <row r="1069" spans="1:11" x14ac:dyDescent="0.15">
      <c r="A1069" s="383"/>
      <c r="B1069">
        <v>1825200720</v>
      </c>
      <c r="D1069" s="278" t="s">
        <v>862</v>
      </c>
      <c r="F1069" s="157">
        <v>2500</v>
      </c>
      <c r="H1069" s="157">
        <v>2500</v>
      </c>
      <c r="J1069" s="157">
        <v>1475.4</v>
      </c>
      <c r="K1069" s="383"/>
    </row>
    <row r="1070" spans="1:11" x14ac:dyDescent="0.15">
      <c r="A1070" s="383"/>
      <c r="B1070">
        <v>1825200732</v>
      </c>
      <c r="D1070" s="278" t="s">
        <v>863</v>
      </c>
      <c r="F1070" s="157">
        <v>20000</v>
      </c>
      <c r="H1070" s="157">
        <v>30000</v>
      </c>
      <c r="J1070" s="157">
        <v>16439.38</v>
      </c>
      <c r="K1070" s="383"/>
    </row>
    <row r="1071" spans="1:11" x14ac:dyDescent="0.15">
      <c r="A1071" s="383"/>
      <c r="B1071">
        <v>1825200740</v>
      </c>
      <c r="D1071" s="278" t="s">
        <v>737</v>
      </c>
      <c r="F1071" s="157">
        <v>10000</v>
      </c>
      <c r="H1071" s="157">
        <v>10000</v>
      </c>
      <c r="J1071" s="157">
        <v>9838</v>
      </c>
      <c r="K1071" s="383"/>
    </row>
    <row r="1072" spans="1:11" s="182" customFormat="1" x14ac:dyDescent="0.15">
      <c r="A1072" s="383"/>
      <c r="B1072">
        <v>1825200750</v>
      </c>
      <c r="D1072" s="278" t="s">
        <v>864</v>
      </c>
      <c r="E1072" s="183"/>
      <c r="F1072" s="157">
        <v>78000</v>
      </c>
      <c r="G1072" s="166"/>
      <c r="H1072" s="157">
        <v>88000</v>
      </c>
      <c r="I1072" s="166"/>
      <c r="J1072" s="157">
        <v>79321.649999999994</v>
      </c>
      <c r="K1072" s="383"/>
    </row>
    <row r="1073" spans="1:11" x14ac:dyDescent="0.15">
      <c r="A1073" s="383"/>
      <c r="B1073">
        <v>1825200760</v>
      </c>
      <c r="D1073" s="278" t="s">
        <v>1626</v>
      </c>
      <c r="F1073" s="157">
        <v>0</v>
      </c>
      <c r="H1073" s="157">
        <v>0</v>
      </c>
      <c r="J1073" s="157">
        <v>0</v>
      </c>
      <c r="K1073" s="383"/>
    </row>
    <row r="1074" spans="1:11" x14ac:dyDescent="0.15">
      <c r="A1074" s="383"/>
      <c r="B1074">
        <v>1825200780</v>
      </c>
      <c r="D1074" s="278" t="s">
        <v>865</v>
      </c>
      <c r="F1074" s="157">
        <v>4000</v>
      </c>
      <c r="H1074" s="157">
        <v>4500</v>
      </c>
      <c r="J1074" s="157">
        <v>3005.41</v>
      </c>
      <c r="K1074" s="383"/>
    </row>
    <row r="1075" spans="1:11" x14ac:dyDescent="0.15">
      <c r="A1075" s="383"/>
      <c r="B1075">
        <v>1825200786</v>
      </c>
      <c r="D1075" s="278" t="s">
        <v>1901</v>
      </c>
      <c r="F1075" s="157">
        <v>40000</v>
      </c>
      <c r="H1075" s="157">
        <v>40000</v>
      </c>
      <c r="J1075" s="157">
        <v>20621</v>
      </c>
      <c r="K1075" s="383"/>
    </row>
    <row r="1076" spans="1:11" x14ac:dyDescent="0.15">
      <c r="A1076" s="383"/>
      <c r="B1076">
        <v>1825200930</v>
      </c>
      <c r="D1076" s="278" t="s">
        <v>868</v>
      </c>
      <c r="F1076" s="157">
        <v>15000</v>
      </c>
      <c r="H1076" s="157">
        <v>30000</v>
      </c>
      <c r="J1076" s="157">
        <v>11976.94</v>
      </c>
      <c r="K1076" s="383"/>
    </row>
    <row r="1077" spans="1:11" x14ac:dyDescent="0.15">
      <c r="A1077" s="383"/>
      <c r="B1077">
        <v>1826200830</v>
      </c>
      <c r="D1077" s="278" t="s">
        <v>872</v>
      </c>
      <c r="F1077" s="157">
        <v>45000</v>
      </c>
      <c r="H1077" s="157">
        <v>45000</v>
      </c>
      <c r="J1077" s="157">
        <v>45000</v>
      </c>
      <c r="K1077" s="383"/>
    </row>
    <row r="1078" spans="1:11" x14ac:dyDescent="0.15">
      <c r="A1078" s="383"/>
      <c r="B1078">
        <v>1826400410</v>
      </c>
      <c r="D1078" s="278" t="s">
        <v>873</v>
      </c>
      <c r="F1078" s="157">
        <v>0</v>
      </c>
      <c r="H1078" s="157">
        <v>0</v>
      </c>
      <c r="J1078" s="157">
        <v>0</v>
      </c>
      <c r="K1078" s="383"/>
    </row>
    <row r="1079" spans="1:11" x14ac:dyDescent="0.15">
      <c r="A1079" s="383"/>
      <c r="B1079">
        <v>1826400430</v>
      </c>
      <c r="D1079" s="278" t="s">
        <v>874</v>
      </c>
      <c r="F1079" s="157">
        <v>46716.800000000003</v>
      </c>
      <c r="H1079" s="157">
        <v>50000</v>
      </c>
      <c r="J1079" s="157">
        <v>50583.72</v>
      </c>
      <c r="K1079" s="383"/>
    </row>
    <row r="1080" spans="1:11" x14ac:dyDescent="0.15">
      <c r="A1080" s="383"/>
      <c r="B1080">
        <v>1826400540</v>
      </c>
      <c r="D1080" s="278" t="s">
        <v>875</v>
      </c>
      <c r="F1080" s="157">
        <v>2640</v>
      </c>
      <c r="H1080" s="157">
        <v>3000</v>
      </c>
      <c r="J1080" s="157">
        <v>2470.54</v>
      </c>
      <c r="K1080" s="383"/>
    </row>
    <row r="1081" spans="1:11" s="182" customFormat="1" x14ac:dyDescent="0.15">
      <c r="A1081" s="383"/>
      <c r="B1081">
        <v>1826500581</v>
      </c>
      <c r="D1081" s="278" t="s">
        <v>1902</v>
      </c>
      <c r="E1081" s="183"/>
      <c r="F1081" s="157">
        <v>240</v>
      </c>
      <c r="G1081" s="166"/>
      <c r="H1081" s="157">
        <v>240</v>
      </c>
      <c r="I1081" s="166"/>
      <c r="J1081" s="157">
        <v>203.63</v>
      </c>
      <c r="K1081" s="383"/>
    </row>
    <row r="1082" spans="1:11" s="182" customFormat="1" x14ac:dyDescent="0.15">
      <c r="A1082" s="383"/>
      <c r="B1082">
        <v>1826500780</v>
      </c>
      <c r="D1082" s="278" t="s">
        <v>876</v>
      </c>
      <c r="E1082" s="183"/>
      <c r="F1082" s="157">
        <v>35000</v>
      </c>
      <c r="G1082" s="166"/>
      <c r="H1082" s="157">
        <v>55000</v>
      </c>
      <c r="I1082" s="166"/>
      <c r="J1082" s="157">
        <v>54405.3</v>
      </c>
      <c r="K1082" s="383"/>
    </row>
    <row r="1083" spans="1:11" s="182" customFormat="1" x14ac:dyDescent="0.15">
      <c r="A1083" s="383"/>
      <c r="B1083">
        <v>1829200750</v>
      </c>
      <c r="D1083" s="278" t="s">
        <v>878</v>
      </c>
      <c r="E1083" s="183"/>
      <c r="F1083" s="157">
        <v>900000</v>
      </c>
      <c r="G1083" s="166"/>
      <c r="H1083" s="157">
        <v>900000</v>
      </c>
      <c r="I1083" s="166"/>
      <c r="J1083" s="157">
        <v>894190.41</v>
      </c>
      <c r="K1083" s="383"/>
    </row>
    <row r="1084" spans="1:11" s="182" customFormat="1" x14ac:dyDescent="0.15">
      <c r="A1084" s="383"/>
      <c r="B1084">
        <v>1829200751</v>
      </c>
      <c r="D1084" s="278" t="s">
        <v>1545</v>
      </c>
      <c r="E1084" s="183"/>
      <c r="F1084" s="157">
        <v>126500</v>
      </c>
      <c r="G1084" s="166"/>
      <c r="H1084" s="157">
        <v>126500.4</v>
      </c>
      <c r="I1084" s="166"/>
      <c r="J1084" s="157">
        <v>127623.26</v>
      </c>
      <c r="K1084" s="383"/>
    </row>
    <row r="1085" spans="1:11" s="182" customFormat="1" x14ac:dyDescent="0.15">
      <c r="A1085" s="383"/>
      <c r="B1085">
        <v>1829300110</v>
      </c>
      <c r="D1085" s="278" t="s">
        <v>536</v>
      </c>
      <c r="E1085" s="183"/>
      <c r="F1085" s="157">
        <v>105217</v>
      </c>
      <c r="G1085" s="166"/>
      <c r="H1085" s="157">
        <v>102078</v>
      </c>
      <c r="I1085" s="166"/>
      <c r="J1085" s="157">
        <v>78335.86</v>
      </c>
      <c r="K1085" s="383"/>
    </row>
    <row r="1086" spans="1:11" s="182" customFormat="1" x14ac:dyDescent="0.15">
      <c r="A1086" s="383"/>
      <c r="B1086">
        <v>1829300210</v>
      </c>
      <c r="D1086" s="278" t="s">
        <v>1903</v>
      </c>
      <c r="E1086" s="183"/>
      <c r="F1086" s="157">
        <v>0</v>
      </c>
      <c r="G1086" s="166"/>
      <c r="H1086" s="157">
        <v>0</v>
      </c>
      <c r="I1086" s="166"/>
      <c r="J1086" s="157">
        <v>20720</v>
      </c>
      <c r="K1086" s="383"/>
    </row>
    <row r="1087" spans="1:11" x14ac:dyDescent="0.15">
      <c r="A1087" s="383"/>
      <c r="B1087">
        <v>1829900110</v>
      </c>
      <c r="D1087" s="278" t="s">
        <v>537</v>
      </c>
      <c r="F1087" s="157">
        <v>185193</v>
      </c>
      <c r="H1087" s="157">
        <v>180970</v>
      </c>
      <c r="J1087" s="157">
        <v>173685.03</v>
      </c>
      <c r="K1087" s="383"/>
    </row>
    <row r="1088" spans="1:11" x14ac:dyDescent="0.15">
      <c r="A1088" s="383"/>
      <c r="B1088">
        <v>1829900430</v>
      </c>
      <c r="D1088" s="278" t="s">
        <v>1154</v>
      </c>
      <c r="F1088" s="157">
        <v>177600</v>
      </c>
      <c r="H1088" s="157">
        <v>149333.32999999999</v>
      </c>
      <c r="J1088" s="157">
        <v>168084.17</v>
      </c>
      <c r="K1088" s="383"/>
    </row>
    <row r="1089" spans="1:11" x14ac:dyDescent="0.15">
      <c r="A1089" s="383"/>
      <c r="B1089">
        <v>1829900431</v>
      </c>
      <c r="D1089" s="278" t="s">
        <v>1546</v>
      </c>
      <c r="F1089" s="157">
        <v>25000</v>
      </c>
      <c r="H1089" s="157">
        <v>20250</v>
      </c>
      <c r="J1089" s="157">
        <v>23126.82</v>
      </c>
      <c r="K1089" s="383"/>
    </row>
    <row r="1090" spans="1:11" x14ac:dyDescent="0.15">
      <c r="A1090" s="383"/>
      <c r="B1090">
        <v>1829900750</v>
      </c>
      <c r="D1090" s="278" t="s">
        <v>879</v>
      </c>
      <c r="F1090" s="157">
        <v>600000</v>
      </c>
      <c r="H1090" s="157">
        <v>650000</v>
      </c>
      <c r="J1090" s="157">
        <v>833488</v>
      </c>
      <c r="K1090" s="383"/>
    </row>
    <row r="1091" spans="1:11" s="182" customFormat="1" x14ac:dyDescent="0.15">
      <c r="A1091" s="383"/>
      <c r="B1091">
        <v>1829900751</v>
      </c>
      <c r="D1091" s="278" t="s">
        <v>1488</v>
      </c>
      <c r="E1091" s="183"/>
      <c r="F1091" s="157">
        <v>0</v>
      </c>
      <c r="G1091" s="166"/>
      <c r="H1091" s="157">
        <v>0</v>
      </c>
      <c r="I1091" s="166"/>
      <c r="J1091" s="157">
        <v>142525</v>
      </c>
      <c r="K1091" s="383"/>
    </row>
    <row r="1092" spans="1:11" x14ac:dyDescent="0.15">
      <c r="A1092" s="383"/>
      <c r="B1092">
        <v>1829900810</v>
      </c>
      <c r="D1092" s="278" t="s">
        <v>794</v>
      </c>
      <c r="F1092" s="157">
        <v>4050000</v>
      </c>
      <c r="H1092" s="157">
        <v>4250000</v>
      </c>
      <c r="J1092" s="157">
        <v>3465001</v>
      </c>
      <c r="K1092" s="383"/>
    </row>
    <row r="1093" spans="1:11" s="182" customFormat="1" x14ac:dyDescent="0.15">
      <c r="A1093" s="383"/>
      <c r="B1093">
        <v>1829900811</v>
      </c>
      <c r="D1093" s="278" t="s">
        <v>880</v>
      </c>
      <c r="E1093" s="183"/>
      <c r="F1093" s="157">
        <v>2100</v>
      </c>
      <c r="G1093" s="166"/>
      <c r="H1093" s="157">
        <v>2292</v>
      </c>
      <c r="I1093" s="166"/>
      <c r="J1093" s="157">
        <v>2137.34</v>
      </c>
      <c r="K1093" s="383"/>
    </row>
    <row r="1094" spans="1:11" x14ac:dyDescent="0.15">
      <c r="A1094" s="383"/>
      <c r="B1094">
        <v>1829900910</v>
      </c>
      <c r="D1094" s="278" t="s">
        <v>881</v>
      </c>
      <c r="F1094" s="157">
        <v>0</v>
      </c>
      <c r="H1094" s="157">
        <v>30000</v>
      </c>
      <c r="J1094" s="157">
        <v>108378</v>
      </c>
      <c r="K1094" s="383"/>
    </row>
    <row r="1095" spans="1:11" x14ac:dyDescent="0.15">
      <c r="A1095" s="383"/>
      <c r="B1095">
        <v>1829910810</v>
      </c>
      <c r="D1095" s="278" t="s">
        <v>882</v>
      </c>
      <c r="F1095" s="157">
        <v>375000</v>
      </c>
      <c r="H1095" s="157">
        <v>375000</v>
      </c>
      <c r="J1095" s="157">
        <v>377000</v>
      </c>
      <c r="K1095" s="383"/>
    </row>
    <row r="1096" spans="1:11" ht="14" thickBot="1" x14ac:dyDescent="0.2">
      <c r="A1096" s="383"/>
      <c r="D1096" s="282"/>
      <c r="K1096" s="383"/>
    </row>
    <row r="1097" spans="1:11" x14ac:dyDescent="0.15">
      <c r="A1097" s="383"/>
      <c r="D1097" s="283" t="s">
        <v>1250</v>
      </c>
      <c r="F1097" s="168">
        <v>21404412.800000001</v>
      </c>
      <c r="G1097" s="169">
        <v>0</v>
      </c>
      <c r="H1097" s="168">
        <v>22222424.530000001</v>
      </c>
      <c r="I1097" s="169">
        <v>0</v>
      </c>
      <c r="J1097" s="168">
        <v>20952174.720000003</v>
      </c>
      <c r="K1097" s="383"/>
    </row>
    <row r="1098" spans="1:11" ht="14" thickBot="1" x14ac:dyDescent="0.2">
      <c r="A1098" s="383"/>
      <c r="B1098" s="155">
        <v>1836100810</v>
      </c>
      <c r="D1098" s="282" t="s">
        <v>883</v>
      </c>
      <c r="F1098" s="157">
        <v>180000</v>
      </c>
      <c r="H1098" s="157">
        <v>180000</v>
      </c>
      <c r="J1098" s="157">
        <v>180000</v>
      </c>
      <c r="K1098" s="383"/>
    </row>
    <row r="1099" spans="1:11" x14ac:dyDescent="0.15">
      <c r="A1099" s="383"/>
      <c r="D1099" s="283" t="s">
        <v>1251</v>
      </c>
      <c r="F1099" s="168">
        <v>180000</v>
      </c>
      <c r="G1099" s="169">
        <v>0</v>
      </c>
      <c r="H1099" s="168">
        <v>180000</v>
      </c>
      <c r="I1099" s="169">
        <v>0</v>
      </c>
      <c r="J1099" s="168">
        <v>180000</v>
      </c>
      <c r="K1099" s="383"/>
    </row>
    <row r="1100" spans="1:11" x14ac:dyDescent="0.15">
      <c r="A1100" s="383"/>
      <c r="B1100">
        <v>1840000910</v>
      </c>
      <c r="D1100" s="278" t="s">
        <v>1750</v>
      </c>
      <c r="F1100" s="157">
        <v>30000</v>
      </c>
      <c r="H1100" s="157">
        <v>215000</v>
      </c>
      <c r="J1100" s="157">
        <v>246840</v>
      </c>
      <c r="K1100" s="383"/>
    </row>
    <row r="1101" spans="1:11" x14ac:dyDescent="0.15">
      <c r="A1101" s="383"/>
      <c r="B1101">
        <v>1841000110</v>
      </c>
      <c r="D1101" s="278" t="s">
        <v>401</v>
      </c>
      <c r="F1101" s="157">
        <v>9420843</v>
      </c>
      <c r="H1101" s="157">
        <v>9578720</v>
      </c>
      <c r="J1101" s="157">
        <v>8593701.5999999996</v>
      </c>
      <c r="K1101" s="383"/>
    </row>
    <row r="1102" spans="1:11" x14ac:dyDescent="0.15">
      <c r="A1102" s="383"/>
      <c r="B1102">
        <v>1841000210</v>
      </c>
      <c r="D1102" s="278" t="s">
        <v>1904</v>
      </c>
      <c r="F1102" s="157">
        <v>243198</v>
      </c>
      <c r="H1102" s="157">
        <v>168003</v>
      </c>
      <c r="J1102" s="157">
        <v>171463.18</v>
      </c>
      <c r="K1102" s="383"/>
    </row>
    <row r="1103" spans="1:11" x14ac:dyDescent="0.15">
      <c r="A1103" s="383"/>
      <c r="B1103">
        <v>1841000511</v>
      </c>
      <c r="D1103" s="278" t="s">
        <v>790</v>
      </c>
      <c r="F1103" s="157">
        <v>9832</v>
      </c>
      <c r="H1103" s="157">
        <v>11200</v>
      </c>
      <c r="J1103" s="157">
        <v>7390.45</v>
      </c>
      <c r="K1103" s="383"/>
    </row>
    <row r="1104" spans="1:11" s="182" customFormat="1" x14ac:dyDescent="0.15">
      <c r="A1104" s="383"/>
      <c r="B1104">
        <v>1841000512</v>
      </c>
      <c r="D1104" s="278" t="s">
        <v>183</v>
      </c>
      <c r="E1104" s="183"/>
      <c r="F1104" s="157">
        <v>6000</v>
      </c>
      <c r="G1104" s="166"/>
      <c r="H1104" s="157">
        <v>6000</v>
      </c>
      <c r="I1104" s="166"/>
      <c r="J1104" s="157">
        <v>317.8</v>
      </c>
      <c r="K1104" s="383"/>
    </row>
    <row r="1105" spans="1:11" s="182" customFormat="1" x14ac:dyDescent="0.15">
      <c r="A1105" s="383"/>
      <c r="B1105">
        <v>1841000521</v>
      </c>
      <c r="D1105" s="312" t="s">
        <v>2185</v>
      </c>
      <c r="E1105" s="183"/>
      <c r="F1105" s="157">
        <v>47000</v>
      </c>
      <c r="G1105" s="166"/>
      <c r="H1105" s="157">
        <v>0</v>
      </c>
      <c r="I1105" s="166"/>
      <c r="J1105" s="157">
        <v>0</v>
      </c>
      <c r="K1105" s="383"/>
    </row>
    <row r="1106" spans="1:11" s="182" customFormat="1" x14ac:dyDescent="0.15">
      <c r="A1106" s="383"/>
      <c r="B1106">
        <v>1841000540</v>
      </c>
      <c r="D1106" s="278" t="s">
        <v>184</v>
      </c>
      <c r="E1106" s="183"/>
      <c r="F1106" s="157">
        <v>0</v>
      </c>
      <c r="G1106" s="166"/>
      <c r="H1106" s="157">
        <v>200</v>
      </c>
      <c r="I1106" s="166"/>
      <c r="J1106" s="157">
        <v>0</v>
      </c>
      <c r="K1106" s="383"/>
    </row>
    <row r="1107" spans="1:11" x14ac:dyDescent="0.15">
      <c r="A1107" s="383"/>
      <c r="B1107">
        <v>1841000560</v>
      </c>
      <c r="D1107" s="278" t="s">
        <v>966</v>
      </c>
      <c r="F1107" s="157">
        <v>12500</v>
      </c>
      <c r="H1107" s="157">
        <v>12500</v>
      </c>
      <c r="J1107" s="157">
        <v>10256.99</v>
      </c>
      <c r="K1107" s="383"/>
    </row>
    <row r="1108" spans="1:11" x14ac:dyDescent="0.15">
      <c r="A1108" s="383"/>
      <c r="B1108">
        <v>1841000570</v>
      </c>
      <c r="D1108" s="278" t="s">
        <v>1023</v>
      </c>
      <c r="F1108" s="157">
        <v>15360</v>
      </c>
      <c r="H1108" s="157">
        <v>15600</v>
      </c>
      <c r="J1108" s="157">
        <v>14666.41</v>
      </c>
      <c r="K1108" s="383"/>
    </row>
    <row r="1109" spans="1:11" x14ac:dyDescent="0.15">
      <c r="A1109" s="383"/>
      <c r="B1109">
        <v>1841000571</v>
      </c>
      <c r="D1109" s="278" t="s">
        <v>590</v>
      </c>
      <c r="F1109" s="157">
        <v>0</v>
      </c>
      <c r="H1109" s="157">
        <v>0</v>
      </c>
      <c r="J1109" s="157">
        <v>0</v>
      </c>
      <c r="K1109" s="383"/>
    </row>
    <row r="1110" spans="1:11" x14ac:dyDescent="0.15">
      <c r="A1110" s="383"/>
      <c r="B1110">
        <v>1841000580</v>
      </c>
      <c r="D1110" s="278" t="s">
        <v>835</v>
      </c>
      <c r="F1110" s="157">
        <v>30000</v>
      </c>
      <c r="H1110" s="157">
        <v>30000</v>
      </c>
      <c r="J1110" s="157">
        <v>87397.01</v>
      </c>
      <c r="K1110" s="383"/>
    </row>
    <row r="1111" spans="1:11" x14ac:dyDescent="0.15">
      <c r="A1111" s="383"/>
      <c r="B1111">
        <v>1841000581</v>
      </c>
      <c r="D1111" s="278" t="s">
        <v>1905</v>
      </c>
      <c r="F1111" s="157">
        <v>9600</v>
      </c>
      <c r="H1111" s="157">
        <v>9600</v>
      </c>
      <c r="J1111" s="157">
        <v>8708.57</v>
      </c>
      <c r="K1111" s="383"/>
    </row>
    <row r="1112" spans="1:11" x14ac:dyDescent="0.15">
      <c r="A1112" s="383"/>
      <c r="B1112">
        <v>1841000750</v>
      </c>
      <c r="D1112" s="278" t="s">
        <v>1024</v>
      </c>
      <c r="F1112" s="157">
        <v>12000</v>
      </c>
      <c r="H1112" s="157">
        <v>12000</v>
      </c>
      <c r="J1112" s="157">
        <v>7031.78</v>
      </c>
      <c r="K1112" s="383"/>
    </row>
    <row r="1113" spans="1:11" x14ac:dyDescent="0.15">
      <c r="A1113" s="383"/>
      <c r="B1113">
        <v>1841000780</v>
      </c>
      <c r="D1113" s="278" t="s">
        <v>1046</v>
      </c>
      <c r="F1113" s="157">
        <v>0</v>
      </c>
      <c r="H1113" s="157">
        <v>200</v>
      </c>
      <c r="J1113" s="157">
        <v>0</v>
      </c>
      <c r="K1113" s="383"/>
    </row>
    <row r="1114" spans="1:11" s="182" customFormat="1" x14ac:dyDescent="0.15">
      <c r="A1114" s="383"/>
      <c r="B1114">
        <v>1841000781</v>
      </c>
      <c r="D1114" s="278" t="s">
        <v>2166</v>
      </c>
      <c r="E1114" s="183"/>
      <c r="F1114" s="157">
        <v>300000</v>
      </c>
      <c r="G1114" s="166"/>
      <c r="H1114" s="157">
        <v>215000</v>
      </c>
      <c r="I1114" s="166"/>
      <c r="J1114" s="157">
        <v>0</v>
      </c>
      <c r="K1114" s="383"/>
    </row>
    <row r="1115" spans="1:11" x14ac:dyDescent="0.15">
      <c r="A1115" s="383"/>
      <c r="B1115">
        <v>1841000843</v>
      </c>
      <c r="D1115" s="278" t="s">
        <v>402</v>
      </c>
      <c r="F1115" s="157">
        <v>3000</v>
      </c>
      <c r="H1115" s="157">
        <v>3400</v>
      </c>
      <c r="J1115" s="157">
        <v>0</v>
      </c>
      <c r="K1115" s="383"/>
    </row>
    <row r="1116" spans="1:11" x14ac:dyDescent="0.15">
      <c r="A1116" s="383"/>
      <c r="B1116">
        <v>1841000846</v>
      </c>
      <c r="D1116" s="278" t="s">
        <v>404</v>
      </c>
      <c r="F1116" s="157">
        <v>30000</v>
      </c>
      <c r="H1116" s="157">
        <v>30000</v>
      </c>
      <c r="J1116" s="157">
        <v>11566.42</v>
      </c>
      <c r="K1116" s="383"/>
    </row>
    <row r="1117" spans="1:11" x14ac:dyDescent="0.15">
      <c r="A1117" s="383"/>
      <c r="B1117">
        <v>1841000910</v>
      </c>
      <c r="D1117" s="278" t="s">
        <v>704</v>
      </c>
      <c r="F1117" s="157">
        <v>0</v>
      </c>
      <c r="H1117" s="157">
        <v>0</v>
      </c>
      <c r="J1117" s="157">
        <v>19134</v>
      </c>
      <c r="K1117" s="383"/>
    </row>
    <row r="1118" spans="1:11" s="182" customFormat="1" x14ac:dyDescent="0.15">
      <c r="A1118" s="383"/>
      <c r="B1118">
        <v>1841000980</v>
      </c>
      <c r="D1118" s="278" t="s">
        <v>652</v>
      </c>
      <c r="E1118" s="183"/>
      <c r="F1118" s="157">
        <v>241000</v>
      </c>
      <c r="G1118" s="166"/>
      <c r="H1118" s="157">
        <v>326551</v>
      </c>
      <c r="I1118" s="166"/>
      <c r="J1118" s="157">
        <v>191696.75</v>
      </c>
      <c r="K1118" s="383"/>
    </row>
    <row r="1119" spans="1:11" s="182" customFormat="1" x14ac:dyDescent="0.15">
      <c r="A1119" s="383"/>
      <c r="B1119">
        <v>1841000981</v>
      </c>
      <c r="D1119" s="278" t="s">
        <v>1463</v>
      </c>
      <c r="E1119" s="183"/>
      <c r="F1119" s="157">
        <v>289000</v>
      </c>
      <c r="G1119" s="166"/>
      <c r="H1119" s="157">
        <v>288449</v>
      </c>
      <c r="I1119" s="166"/>
      <c r="J1119" s="157">
        <v>396959.65</v>
      </c>
      <c r="K1119" s="383"/>
    </row>
    <row r="1120" spans="1:11" x14ac:dyDescent="0.15">
      <c r="A1120" s="383"/>
      <c r="B1120">
        <v>1841100750</v>
      </c>
      <c r="D1120" s="278" t="s">
        <v>714</v>
      </c>
      <c r="F1120" s="157">
        <v>0</v>
      </c>
      <c r="H1120" s="157">
        <v>30000</v>
      </c>
      <c r="J1120" s="157">
        <v>21162.67</v>
      </c>
      <c r="K1120" s="383"/>
    </row>
    <row r="1121" spans="1:11" x14ac:dyDescent="0.15">
      <c r="A1121" s="383"/>
      <c r="B1121">
        <v>1842200840</v>
      </c>
      <c r="D1121" s="278" t="s">
        <v>406</v>
      </c>
      <c r="F1121" s="157">
        <v>180000</v>
      </c>
      <c r="H1121" s="157">
        <v>180000</v>
      </c>
      <c r="J1121" s="157">
        <v>177135</v>
      </c>
      <c r="K1121" s="383"/>
    </row>
    <row r="1122" spans="1:11" x14ac:dyDescent="0.15">
      <c r="A1122" s="383"/>
      <c r="B1122">
        <v>1842200843</v>
      </c>
      <c r="D1122" s="278" t="s">
        <v>407</v>
      </c>
      <c r="F1122" s="157">
        <v>180000</v>
      </c>
      <c r="H1122" s="157">
        <v>160000</v>
      </c>
      <c r="J1122" s="157">
        <v>143352</v>
      </c>
      <c r="K1122" s="383"/>
    </row>
    <row r="1123" spans="1:11" x14ac:dyDescent="0.15">
      <c r="A1123" s="383"/>
      <c r="B1123">
        <v>1842200844</v>
      </c>
      <c r="D1123" s="278" t="s">
        <v>1026</v>
      </c>
      <c r="F1123" s="157">
        <v>181800</v>
      </c>
      <c r="H1123" s="157">
        <v>188006.39999999999</v>
      </c>
      <c r="J1123" s="157">
        <v>144485</v>
      </c>
      <c r="K1123" s="383"/>
    </row>
    <row r="1124" spans="1:11" s="182" customFormat="1" x14ac:dyDescent="0.15">
      <c r="A1124" s="383"/>
      <c r="B1124">
        <v>1842200846</v>
      </c>
      <c r="D1124" s="278" t="s">
        <v>409</v>
      </c>
      <c r="E1124" s="183"/>
      <c r="F1124" s="157">
        <v>191496</v>
      </c>
      <c r="G1124" s="166"/>
      <c r="H1124" s="157">
        <v>100000</v>
      </c>
      <c r="I1124" s="166"/>
      <c r="J1124" s="157">
        <v>17877</v>
      </c>
      <c r="K1124" s="383"/>
    </row>
    <row r="1125" spans="1:11" s="182" customFormat="1" x14ac:dyDescent="0.15">
      <c r="A1125" s="383"/>
      <c r="B1125">
        <v>1842200847</v>
      </c>
      <c r="D1125" s="278" t="s">
        <v>1485</v>
      </c>
      <c r="E1125" s="183"/>
      <c r="F1125" s="157">
        <v>0</v>
      </c>
      <c r="G1125" s="166"/>
      <c r="H1125" s="157">
        <v>10000</v>
      </c>
      <c r="I1125" s="166"/>
      <c r="J1125" s="157">
        <v>11076</v>
      </c>
      <c r="K1125" s="383"/>
    </row>
    <row r="1126" spans="1:11" x14ac:dyDescent="0.15">
      <c r="A1126" s="383"/>
      <c r="B1126">
        <v>1842400110</v>
      </c>
      <c r="D1126" s="278" t="s">
        <v>1653</v>
      </c>
      <c r="F1126" s="157">
        <v>102533</v>
      </c>
      <c r="H1126" s="157">
        <v>121733</v>
      </c>
      <c r="J1126" s="157">
        <v>110921.14</v>
      </c>
      <c r="K1126" s="383"/>
    </row>
    <row r="1127" spans="1:11" x14ac:dyDescent="0.15">
      <c r="A1127" s="383"/>
      <c r="B1127">
        <v>1842400841</v>
      </c>
      <c r="D1127" s="278" t="s">
        <v>410</v>
      </c>
      <c r="F1127" s="157">
        <v>40000</v>
      </c>
      <c r="H1127" s="157">
        <v>40000</v>
      </c>
      <c r="J1127" s="157">
        <v>0</v>
      </c>
      <c r="K1127" s="383"/>
    </row>
    <row r="1128" spans="1:11" x14ac:dyDescent="0.15">
      <c r="A1128" s="383"/>
      <c r="B1128">
        <v>1842400844</v>
      </c>
      <c r="D1128" s="278" t="s">
        <v>1027</v>
      </c>
      <c r="F1128" s="157">
        <v>71600</v>
      </c>
      <c r="H1128" s="157">
        <v>85000</v>
      </c>
      <c r="J1128" s="157">
        <v>74776</v>
      </c>
      <c r="K1128" s="383"/>
    </row>
    <row r="1129" spans="1:11" s="182" customFormat="1" x14ac:dyDescent="0.15">
      <c r="A1129" s="383"/>
      <c r="B1129">
        <v>1842400845</v>
      </c>
      <c r="D1129" s="278" t="s">
        <v>411</v>
      </c>
      <c r="E1129" s="183"/>
      <c r="F1129" s="157">
        <v>97640</v>
      </c>
      <c r="G1129" s="166"/>
      <c r="H1129" s="157">
        <v>90000</v>
      </c>
      <c r="I1129" s="166"/>
      <c r="J1129" s="157">
        <v>64139.03</v>
      </c>
      <c r="K1129" s="383"/>
    </row>
    <row r="1130" spans="1:11" s="182" customFormat="1" x14ac:dyDescent="0.15">
      <c r="A1130" s="383"/>
      <c r="B1130">
        <v>1842400846</v>
      </c>
      <c r="D1130" s="278" t="s">
        <v>1408</v>
      </c>
      <c r="E1130" s="183"/>
      <c r="F1130" s="157">
        <v>0</v>
      </c>
      <c r="G1130" s="166"/>
      <c r="H1130" s="157">
        <v>0</v>
      </c>
      <c r="I1130" s="166"/>
      <c r="J1130" s="157">
        <v>4041</v>
      </c>
      <c r="K1130" s="383"/>
    </row>
    <row r="1131" spans="1:11" x14ac:dyDescent="0.15">
      <c r="A1131" s="383"/>
      <c r="B1131">
        <v>1842400847</v>
      </c>
      <c r="D1131" s="278" t="s">
        <v>1592</v>
      </c>
      <c r="F1131" s="157">
        <v>12000</v>
      </c>
      <c r="H1131" s="157">
        <v>12000</v>
      </c>
      <c r="J1131" s="157">
        <v>0</v>
      </c>
      <c r="K1131" s="383"/>
    </row>
    <row r="1132" spans="1:11" s="182" customFormat="1" x14ac:dyDescent="0.15">
      <c r="A1132" s="383"/>
      <c r="B1132">
        <v>1842401840</v>
      </c>
      <c r="D1132" s="278" t="s">
        <v>412</v>
      </c>
      <c r="E1132" s="183"/>
      <c r="F1132" s="157">
        <v>0</v>
      </c>
      <c r="G1132" s="166"/>
      <c r="H1132" s="157">
        <v>162000</v>
      </c>
      <c r="I1132" s="166"/>
      <c r="J1132" s="157">
        <v>162000</v>
      </c>
      <c r="K1132" s="383"/>
    </row>
    <row r="1133" spans="1:11" s="182" customFormat="1" x14ac:dyDescent="0.15">
      <c r="A1133" s="383"/>
      <c r="B1133">
        <v>1842401841</v>
      </c>
      <c r="D1133" s="278" t="s">
        <v>1652</v>
      </c>
      <c r="E1133" s="183"/>
      <c r="F1133" s="157">
        <v>150000</v>
      </c>
      <c r="G1133" s="166"/>
      <c r="H1133" s="157">
        <v>150000</v>
      </c>
      <c r="I1133" s="166"/>
      <c r="J1133" s="157">
        <v>139395.95000000001</v>
      </c>
      <c r="K1133" s="383"/>
    </row>
    <row r="1134" spans="1:11" x14ac:dyDescent="0.15">
      <c r="A1134" s="383"/>
      <c r="B1134">
        <v>1842410110</v>
      </c>
      <c r="D1134" s="278" t="s">
        <v>1906</v>
      </c>
      <c r="F1134" s="157">
        <v>431883</v>
      </c>
      <c r="H1134" s="157">
        <v>448850</v>
      </c>
      <c r="J1134" s="157">
        <v>393455.43</v>
      </c>
      <c r="K1134" s="383"/>
    </row>
    <row r="1135" spans="1:11" x14ac:dyDescent="0.15">
      <c r="A1135" s="383"/>
      <c r="B1135">
        <v>1843500210</v>
      </c>
      <c r="D1135" s="278" t="s">
        <v>1786</v>
      </c>
      <c r="F1135" s="157">
        <v>206181</v>
      </c>
      <c r="H1135" s="157">
        <v>179666</v>
      </c>
      <c r="J1135" s="157">
        <v>169911.33</v>
      </c>
      <c r="K1135" s="383"/>
    </row>
    <row r="1136" spans="1:11" s="182" customFormat="1" x14ac:dyDescent="0.15">
      <c r="A1136" s="383"/>
      <c r="B1136">
        <v>1843500840</v>
      </c>
      <c r="D1136" s="278" t="s">
        <v>85</v>
      </c>
      <c r="E1136" s="183"/>
      <c r="F1136" s="157">
        <v>62691</v>
      </c>
      <c r="G1136" s="166"/>
      <c r="H1136" s="157">
        <v>21885.119999999999</v>
      </c>
      <c r="I1136" s="166"/>
      <c r="J1136" s="157">
        <v>16992</v>
      </c>
      <c r="K1136" s="383"/>
    </row>
    <row r="1137" spans="1:11" x14ac:dyDescent="0.15">
      <c r="A1137" s="383"/>
      <c r="B1137">
        <v>1843500841</v>
      </c>
      <c r="D1137" s="278" t="s">
        <v>413</v>
      </c>
      <c r="F1137" s="157">
        <v>370872</v>
      </c>
      <c r="H1137" s="157">
        <v>294494.40000000002</v>
      </c>
      <c r="J1137" s="157">
        <v>297421</v>
      </c>
      <c r="K1137" s="383"/>
    </row>
    <row r="1138" spans="1:11" x14ac:dyDescent="0.15">
      <c r="A1138" s="383"/>
      <c r="B1138">
        <v>1843500842</v>
      </c>
      <c r="D1138" s="278" t="s">
        <v>414</v>
      </c>
      <c r="F1138" s="157">
        <v>540000</v>
      </c>
      <c r="H1138" s="157">
        <v>480000</v>
      </c>
      <c r="J1138" s="157">
        <v>478988</v>
      </c>
      <c r="K1138" s="383"/>
    </row>
    <row r="1139" spans="1:11" x14ac:dyDescent="0.15">
      <c r="A1139" s="383"/>
      <c r="B1139">
        <v>1843500844</v>
      </c>
      <c r="D1139" s="278" t="s">
        <v>415</v>
      </c>
      <c r="F1139" s="157">
        <v>90000</v>
      </c>
      <c r="H1139" s="157">
        <v>90000</v>
      </c>
      <c r="J1139" s="157">
        <v>89999.2</v>
      </c>
      <c r="K1139" s="383"/>
    </row>
    <row r="1140" spans="1:11" x14ac:dyDescent="0.15">
      <c r="A1140" s="383"/>
      <c r="B1140">
        <v>1843500845</v>
      </c>
      <c r="D1140" s="278" t="s">
        <v>416</v>
      </c>
      <c r="F1140" s="157">
        <v>100000</v>
      </c>
      <c r="H1140" s="157">
        <v>108000</v>
      </c>
      <c r="J1140" s="157">
        <v>88417.61</v>
      </c>
      <c r="K1140" s="383"/>
    </row>
    <row r="1141" spans="1:11" x14ac:dyDescent="0.15">
      <c r="A1141" s="383"/>
      <c r="B1141">
        <v>1843500847</v>
      </c>
      <c r="D1141" s="278" t="s">
        <v>417</v>
      </c>
      <c r="F1141" s="157">
        <v>54000</v>
      </c>
      <c r="H1141" s="157">
        <v>20000</v>
      </c>
      <c r="J1141" s="157">
        <v>14261.18</v>
      </c>
      <c r="K1141" s="383"/>
    </row>
    <row r="1142" spans="1:11" ht="13.5" customHeight="1" x14ac:dyDescent="0.15">
      <c r="A1142" s="383"/>
      <c r="B1142">
        <v>1843500849</v>
      </c>
      <c r="D1142" s="278" t="s">
        <v>418</v>
      </c>
      <c r="F1142" s="157">
        <v>190836</v>
      </c>
      <c r="H1142" s="157">
        <v>160000</v>
      </c>
      <c r="J1142" s="157">
        <v>213090</v>
      </c>
      <c r="K1142" s="383"/>
    </row>
    <row r="1143" spans="1:11" s="182" customFormat="1" ht="13.5" customHeight="1" x14ac:dyDescent="0.15">
      <c r="A1143" s="383"/>
      <c r="B1143">
        <v>1843500850</v>
      </c>
      <c r="D1143" s="278" t="s">
        <v>58</v>
      </c>
      <c r="E1143" s="183"/>
      <c r="F1143" s="157">
        <v>0</v>
      </c>
      <c r="G1143" s="166"/>
      <c r="H1143" s="157">
        <v>0</v>
      </c>
      <c r="I1143" s="166"/>
      <c r="J1143" s="157">
        <v>5000.01</v>
      </c>
      <c r="K1143" s="383"/>
    </row>
    <row r="1144" spans="1:11" s="182" customFormat="1" ht="13.5" customHeight="1" x14ac:dyDescent="0.15">
      <c r="A1144" s="383"/>
      <c r="B1144">
        <v>1843500851</v>
      </c>
      <c r="D1144" s="278" t="s">
        <v>1593</v>
      </c>
      <c r="E1144" s="183"/>
      <c r="F1144" s="157">
        <v>0</v>
      </c>
      <c r="G1144" s="166"/>
      <c r="H1144" s="157">
        <v>0</v>
      </c>
      <c r="I1144" s="166"/>
      <c r="J1144" s="157">
        <v>4999.99</v>
      </c>
      <c r="K1144" s="383"/>
    </row>
    <row r="1145" spans="1:11" s="182" customFormat="1" ht="13.5" customHeight="1" x14ac:dyDescent="0.15">
      <c r="A1145" s="383"/>
      <c r="B1145">
        <v>1843510110</v>
      </c>
      <c r="D1145" s="278" t="s">
        <v>1659</v>
      </c>
      <c r="E1145" s="183"/>
      <c r="F1145" s="157">
        <v>235112</v>
      </c>
      <c r="G1145" s="166"/>
      <c r="H1145" s="157">
        <v>221898</v>
      </c>
      <c r="I1145" s="166"/>
      <c r="J1145" s="157">
        <v>194918.62</v>
      </c>
      <c r="K1145" s="383"/>
    </row>
    <row r="1146" spans="1:11" s="182" customFormat="1" ht="13.5" customHeight="1" x14ac:dyDescent="0.15">
      <c r="A1146" s="383"/>
      <c r="B1146">
        <v>1843510210</v>
      </c>
      <c r="D1146" s="278" t="s">
        <v>2187</v>
      </c>
      <c r="E1146" s="183"/>
      <c r="F1146" s="157">
        <v>291200</v>
      </c>
      <c r="G1146" s="166"/>
      <c r="H1146" s="157"/>
      <c r="I1146" s="166"/>
      <c r="J1146" s="157"/>
      <c r="K1146" s="383"/>
    </row>
    <row r="1147" spans="1:11" x14ac:dyDescent="0.15">
      <c r="A1147" s="383"/>
      <c r="B1147">
        <v>1843800110</v>
      </c>
      <c r="D1147" s="278" t="s">
        <v>1658</v>
      </c>
      <c r="F1147" s="157">
        <v>516519</v>
      </c>
      <c r="H1147" s="157">
        <v>487184</v>
      </c>
      <c r="J1147" s="157">
        <v>364273</v>
      </c>
      <c r="K1147" s="383"/>
    </row>
    <row r="1148" spans="1:11" x14ac:dyDescent="0.15">
      <c r="A1148" s="383"/>
      <c r="B1148">
        <v>1843800840</v>
      </c>
      <c r="D1148" s="278" t="s">
        <v>419</v>
      </c>
      <c r="F1148" s="157">
        <v>7175040</v>
      </c>
      <c r="H1148" s="157">
        <v>5640192</v>
      </c>
      <c r="J1148" s="157">
        <v>5033892</v>
      </c>
      <c r="K1148" s="383"/>
    </row>
    <row r="1149" spans="1:11" s="182" customFormat="1" x14ac:dyDescent="0.15">
      <c r="A1149" s="383"/>
      <c r="B1149">
        <v>1843800842</v>
      </c>
      <c r="D1149" s="278" t="s">
        <v>190</v>
      </c>
      <c r="E1149" s="183"/>
      <c r="F1149" s="157">
        <v>0</v>
      </c>
      <c r="G1149" s="166"/>
      <c r="H1149" s="157">
        <v>0</v>
      </c>
      <c r="I1149" s="166"/>
      <c r="J1149" s="157">
        <v>12992</v>
      </c>
      <c r="K1149" s="383"/>
    </row>
    <row r="1150" spans="1:11" x14ac:dyDescent="0.15">
      <c r="A1150" s="383"/>
      <c r="B1150">
        <v>1843800845</v>
      </c>
      <c r="D1150" s="278" t="s">
        <v>420</v>
      </c>
      <c r="F1150" s="157">
        <v>320000</v>
      </c>
      <c r="H1150" s="157">
        <v>320000</v>
      </c>
      <c r="J1150" s="157">
        <v>130146.21</v>
      </c>
      <c r="K1150" s="383"/>
    </row>
    <row r="1151" spans="1:11" x14ac:dyDescent="0.15">
      <c r="A1151" s="383"/>
      <c r="B1151">
        <v>1843900840</v>
      </c>
      <c r="D1151" s="278" t="s">
        <v>421</v>
      </c>
      <c r="F1151" s="157">
        <v>3851736</v>
      </c>
      <c r="H1151" s="157">
        <v>3481545.6</v>
      </c>
      <c r="J1151" s="157">
        <v>3485855</v>
      </c>
      <c r="K1151" s="383"/>
    </row>
    <row r="1152" spans="1:11" x14ac:dyDescent="0.15">
      <c r="A1152" s="383"/>
      <c r="B1152">
        <v>1844000430</v>
      </c>
      <c r="D1152" s="278" t="s">
        <v>1028</v>
      </c>
      <c r="F1152" s="157">
        <v>2040</v>
      </c>
      <c r="H1152" s="157">
        <v>2112</v>
      </c>
      <c r="J1152" s="157">
        <v>2019.14</v>
      </c>
      <c r="K1152" s="383"/>
    </row>
    <row r="1153" spans="1:11" x14ac:dyDescent="0.15">
      <c r="A1153" s="383"/>
      <c r="B1153">
        <v>1844300840</v>
      </c>
      <c r="D1153" s="278" t="s">
        <v>300</v>
      </c>
      <c r="F1153" s="157">
        <v>5235840</v>
      </c>
      <c r="H1153" s="157">
        <v>5935788</v>
      </c>
      <c r="J1153" s="157">
        <v>5437625</v>
      </c>
      <c r="K1153" s="383"/>
    </row>
    <row r="1154" spans="1:11" x14ac:dyDescent="0.15">
      <c r="A1154" s="383"/>
      <c r="B1154">
        <v>1844300842</v>
      </c>
      <c r="D1154" s="278" t="s">
        <v>59</v>
      </c>
      <c r="F1154" s="157">
        <v>15000</v>
      </c>
      <c r="H1154" s="157">
        <v>0</v>
      </c>
      <c r="J1154" s="157">
        <v>0</v>
      </c>
      <c r="K1154" s="383"/>
    </row>
    <row r="1155" spans="1:11" x14ac:dyDescent="0.15">
      <c r="A1155" s="383"/>
      <c r="B1155">
        <v>1844400780</v>
      </c>
      <c r="D1155" s="278" t="s">
        <v>1029</v>
      </c>
      <c r="F1155" s="157">
        <v>60000</v>
      </c>
      <c r="H1155" s="157">
        <v>60000</v>
      </c>
      <c r="J1155" s="157">
        <v>60000</v>
      </c>
      <c r="K1155" s="383"/>
    </row>
    <row r="1156" spans="1:11" s="182" customFormat="1" x14ac:dyDescent="0.15">
      <c r="A1156" s="383"/>
      <c r="B1156">
        <v>1844400840</v>
      </c>
      <c r="D1156" s="278" t="s">
        <v>1482</v>
      </c>
      <c r="E1156" s="183"/>
      <c r="F1156" s="157">
        <v>163000</v>
      </c>
      <c r="G1156" s="166"/>
      <c r="H1156" s="157">
        <v>2000</v>
      </c>
      <c r="I1156" s="166"/>
      <c r="J1156" s="157">
        <v>42696.5</v>
      </c>
      <c r="K1156" s="383"/>
    </row>
    <row r="1157" spans="1:11" x14ac:dyDescent="0.15">
      <c r="A1157" s="383"/>
      <c r="B1157">
        <v>1844400841</v>
      </c>
      <c r="D1157" s="278" t="s">
        <v>422</v>
      </c>
      <c r="F1157" s="157">
        <v>150000</v>
      </c>
      <c r="H1157" s="157">
        <v>100000</v>
      </c>
      <c r="J1157" s="157">
        <v>102114</v>
      </c>
      <c r="K1157" s="383"/>
    </row>
    <row r="1158" spans="1:11" x14ac:dyDescent="0.15">
      <c r="A1158" s="383"/>
      <c r="B1158">
        <v>1844400842</v>
      </c>
      <c r="D1158" s="278" t="s">
        <v>423</v>
      </c>
      <c r="F1158" s="157">
        <v>360000</v>
      </c>
      <c r="H1158" s="157">
        <v>220000</v>
      </c>
      <c r="J1158" s="157">
        <v>245379</v>
      </c>
      <c r="K1158" s="383"/>
    </row>
    <row r="1159" spans="1:11" s="182" customFormat="1" x14ac:dyDescent="0.15">
      <c r="A1159" s="383"/>
      <c r="B1159">
        <v>1844400844</v>
      </c>
      <c r="D1159" s="278" t="s">
        <v>193</v>
      </c>
      <c r="E1159" s="183"/>
      <c r="F1159" s="157">
        <v>0</v>
      </c>
      <c r="G1159" s="166"/>
      <c r="H1159" s="157">
        <v>0</v>
      </c>
      <c r="I1159" s="166"/>
      <c r="J1159" s="157">
        <v>0</v>
      </c>
      <c r="K1159" s="383"/>
    </row>
    <row r="1160" spans="1:11" x14ac:dyDescent="0.15">
      <c r="A1160" s="383"/>
      <c r="B1160">
        <v>1844400845</v>
      </c>
      <c r="D1160" s="278" t="s">
        <v>425</v>
      </c>
      <c r="F1160" s="157">
        <v>60000</v>
      </c>
      <c r="H1160" s="157">
        <v>30000</v>
      </c>
      <c r="J1160" s="157">
        <v>27588.3</v>
      </c>
      <c r="K1160" s="383"/>
    </row>
    <row r="1161" spans="1:11" x14ac:dyDescent="0.15">
      <c r="A1161" s="383"/>
      <c r="B1161">
        <v>1844400849</v>
      </c>
      <c r="D1161" s="278" t="s">
        <v>426</v>
      </c>
      <c r="F1161" s="157">
        <v>420000</v>
      </c>
      <c r="H1161" s="157">
        <v>420000</v>
      </c>
      <c r="J1161" s="157">
        <v>287884</v>
      </c>
      <c r="K1161" s="383"/>
    </row>
    <row r="1162" spans="1:11" s="182" customFormat="1" x14ac:dyDescent="0.15">
      <c r="A1162" s="383"/>
      <c r="B1162">
        <v>1844400852</v>
      </c>
      <c r="D1162" s="278" t="s">
        <v>1722</v>
      </c>
      <c r="E1162" s="183"/>
      <c r="F1162" s="157">
        <v>0</v>
      </c>
      <c r="G1162" s="166"/>
      <c r="H1162" s="157">
        <v>0</v>
      </c>
      <c r="I1162" s="166"/>
      <c r="J1162" s="157">
        <v>10028</v>
      </c>
      <c r="K1162" s="383"/>
    </row>
    <row r="1163" spans="1:11" s="182" customFormat="1" x14ac:dyDescent="0.15">
      <c r="A1163" s="383"/>
      <c r="B1163">
        <v>1844400853</v>
      </c>
      <c r="D1163" s="278" t="s">
        <v>1994</v>
      </c>
      <c r="E1163" s="183"/>
      <c r="F1163" s="157">
        <v>100000</v>
      </c>
      <c r="G1163" s="166"/>
      <c r="H1163" s="157">
        <v>100000</v>
      </c>
      <c r="I1163" s="166"/>
      <c r="J1163" s="157">
        <v>93059</v>
      </c>
      <c r="K1163" s="383"/>
    </row>
    <row r="1164" spans="1:11" s="182" customFormat="1" x14ac:dyDescent="0.15">
      <c r="A1164" s="383"/>
      <c r="B1164">
        <v>1844400854</v>
      </c>
      <c r="D1164" s="278" t="s">
        <v>2084</v>
      </c>
      <c r="E1164" s="183"/>
      <c r="F1164" s="157">
        <v>50000</v>
      </c>
      <c r="G1164" s="166"/>
      <c r="H1164" s="157">
        <v>0</v>
      </c>
      <c r="I1164" s="166"/>
      <c r="J1164" s="157">
        <v>9699</v>
      </c>
      <c r="K1164" s="383"/>
    </row>
    <row r="1165" spans="1:11" x14ac:dyDescent="0.15">
      <c r="A1165" s="383"/>
      <c r="B1165">
        <v>1844500840</v>
      </c>
      <c r="D1165" s="278" t="s">
        <v>427</v>
      </c>
      <c r="F1165" s="157">
        <v>600000</v>
      </c>
      <c r="H1165" s="157">
        <v>650000</v>
      </c>
      <c r="J1165" s="157">
        <v>657226</v>
      </c>
      <c r="K1165" s="383"/>
    </row>
    <row r="1166" spans="1:11" x14ac:dyDescent="0.15">
      <c r="A1166" s="383"/>
      <c r="B1166">
        <v>1844500843</v>
      </c>
      <c r="D1166" s="278" t="s">
        <v>1650</v>
      </c>
      <c r="F1166" s="157">
        <v>280000</v>
      </c>
      <c r="H1166" s="157">
        <v>281076</v>
      </c>
      <c r="J1166" s="157">
        <v>240000</v>
      </c>
      <c r="K1166" s="383"/>
    </row>
    <row r="1167" spans="1:11" s="182" customFormat="1" x14ac:dyDescent="0.15">
      <c r="A1167" s="383"/>
      <c r="B1167">
        <v>1844500845</v>
      </c>
      <c r="D1167" s="278" t="s">
        <v>1649</v>
      </c>
      <c r="E1167" s="183"/>
      <c r="F1167" s="157">
        <v>276000</v>
      </c>
      <c r="G1167" s="166"/>
      <c r="H1167" s="157">
        <v>276770</v>
      </c>
      <c r="I1167" s="166"/>
      <c r="J1167" s="157">
        <v>250006.33</v>
      </c>
      <c r="K1167" s="383"/>
    </row>
    <row r="1168" spans="1:11" x14ac:dyDescent="0.15">
      <c r="A1168" s="383"/>
      <c r="B1168">
        <v>1845100842</v>
      </c>
      <c r="D1168" s="278" t="s">
        <v>431</v>
      </c>
      <c r="F1168" s="157">
        <v>1323504</v>
      </c>
      <c r="H1168" s="157">
        <v>1248480</v>
      </c>
      <c r="J1168" s="157">
        <v>1023274</v>
      </c>
      <c r="K1168" s="383"/>
    </row>
    <row r="1169" spans="1:11" x14ac:dyDescent="0.15">
      <c r="A1169" s="383"/>
      <c r="B1169">
        <v>1845100843</v>
      </c>
      <c r="D1169" s="278" t="s">
        <v>432</v>
      </c>
      <c r="F1169" s="157">
        <v>50000</v>
      </c>
      <c r="H1169" s="157">
        <v>50000</v>
      </c>
      <c r="J1169" s="157">
        <v>37939</v>
      </c>
      <c r="K1169" s="383"/>
    </row>
    <row r="1170" spans="1:11" x14ac:dyDescent="0.15">
      <c r="A1170" s="383"/>
      <c r="B1170">
        <v>1845100844</v>
      </c>
      <c r="D1170" s="278" t="s">
        <v>1196</v>
      </c>
      <c r="F1170" s="157">
        <v>10000</v>
      </c>
      <c r="H1170" s="157">
        <v>10000</v>
      </c>
      <c r="J1170" s="157">
        <v>0</v>
      </c>
      <c r="K1170" s="383"/>
    </row>
    <row r="1171" spans="1:11" x14ac:dyDescent="0.15">
      <c r="A1171" s="383"/>
      <c r="B1171">
        <v>1845100845</v>
      </c>
      <c r="D1171" s="278" t="s">
        <v>433</v>
      </c>
      <c r="F1171" s="157">
        <v>20604</v>
      </c>
      <c r="H1171" s="157">
        <v>20587.68</v>
      </c>
      <c r="J1171" s="157">
        <v>16648</v>
      </c>
      <c r="K1171" s="383"/>
    </row>
    <row r="1172" spans="1:11" x14ac:dyDescent="0.15">
      <c r="A1172" s="383"/>
      <c r="B1172">
        <v>1845100846</v>
      </c>
      <c r="D1172" s="278" t="s">
        <v>434</v>
      </c>
      <c r="F1172" s="157">
        <v>778200</v>
      </c>
      <c r="H1172" s="157">
        <v>189000</v>
      </c>
      <c r="J1172" s="157">
        <v>136789</v>
      </c>
      <c r="K1172" s="383"/>
    </row>
    <row r="1173" spans="1:11" x14ac:dyDescent="0.15">
      <c r="A1173" s="383"/>
      <c r="B1173">
        <v>1845100848</v>
      </c>
      <c r="D1173" s="278" t="s">
        <v>1412</v>
      </c>
      <c r="F1173" s="157">
        <v>163188</v>
      </c>
      <c r="H1173" s="157">
        <v>106390.08</v>
      </c>
      <c r="J1173" s="157">
        <v>53678</v>
      </c>
      <c r="K1173" s="383"/>
    </row>
    <row r="1174" spans="1:11" x14ac:dyDescent="0.15">
      <c r="A1174" s="383"/>
      <c r="B1174">
        <v>1845100849</v>
      </c>
      <c r="D1174" s="278" t="s">
        <v>1413</v>
      </c>
      <c r="F1174" s="157">
        <v>120000</v>
      </c>
      <c r="H1174" s="157">
        <v>21000</v>
      </c>
      <c r="J1174" s="157">
        <v>32783</v>
      </c>
      <c r="K1174" s="383"/>
    </row>
    <row r="1175" spans="1:11" s="182" customFormat="1" x14ac:dyDescent="0.15">
      <c r="A1175" s="383"/>
      <c r="B1175">
        <v>1845100850</v>
      </c>
      <c r="D1175" s="278" t="s">
        <v>1723</v>
      </c>
      <c r="E1175" s="183"/>
      <c r="F1175" s="157">
        <v>13448352</v>
      </c>
      <c r="G1175" s="166"/>
      <c r="H1175" s="157">
        <v>12796920</v>
      </c>
      <c r="I1175" s="166"/>
      <c r="J1175" s="157">
        <v>12440146</v>
      </c>
      <c r="K1175" s="383"/>
    </row>
    <row r="1176" spans="1:11" x14ac:dyDescent="0.15">
      <c r="A1176" s="383"/>
      <c r="B1176">
        <v>1845100851</v>
      </c>
      <c r="D1176" s="278" t="s">
        <v>1907</v>
      </c>
      <c r="F1176" s="157">
        <v>0</v>
      </c>
      <c r="H1176" s="157">
        <v>0</v>
      </c>
      <c r="J1176" s="157">
        <v>0</v>
      </c>
      <c r="K1176" s="383"/>
    </row>
    <row r="1177" spans="1:11" x14ac:dyDescent="0.15">
      <c r="A1177" s="383"/>
      <c r="B1177">
        <v>1845100852</v>
      </c>
      <c r="D1177" s="278" t="s">
        <v>1480</v>
      </c>
      <c r="F1177" s="157">
        <v>122892</v>
      </c>
      <c r="H1177" s="157">
        <v>125215.2</v>
      </c>
      <c r="J1177" s="157">
        <v>129863</v>
      </c>
      <c r="K1177" s="383"/>
    </row>
    <row r="1178" spans="1:11" s="182" customFormat="1" x14ac:dyDescent="0.15">
      <c r="A1178" s="383"/>
      <c r="B1178">
        <v>1845100853</v>
      </c>
      <c r="D1178" s="278" t="s">
        <v>2002</v>
      </c>
      <c r="E1178" s="183"/>
      <c r="F1178" s="157">
        <v>3062724</v>
      </c>
      <c r="G1178" s="166"/>
      <c r="H1178" s="157">
        <v>3093048</v>
      </c>
      <c r="I1178" s="166"/>
      <c r="J1178" s="157">
        <v>3060425</v>
      </c>
      <c r="K1178" s="383"/>
    </row>
    <row r="1179" spans="1:11" x14ac:dyDescent="0.15">
      <c r="A1179" s="383"/>
      <c r="B1179">
        <v>1845200110</v>
      </c>
      <c r="D1179" s="278" t="s">
        <v>1013</v>
      </c>
      <c r="F1179" s="157">
        <v>381084</v>
      </c>
      <c r="H1179" s="157">
        <v>364000</v>
      </c>
      <c r="J1179" s="157">
        <v>354590.98</v>
      </c>
      <c r="K1179" s="383"/>
    </row>
    <row r="1180" spans="1:11" x14ac:dyDescent="0.15">
      <c r="A1180" s="383"/>
      <c r="B1180">
        <v>1845200210</v>
      </c>
      <c r="D1180" s="278" t="s">
        <v>1908</v>
      </c>
      <c r="F1180" s="157">
        <v>105994</v>
      </c>
      <c r="H1180" s="157">
        <v>85878</v>
      </c>
      <c r="J1180" s="157">
        <v>82531.509999999995</v>
      </c>
      <c r="K1180" s="383"/>
    </row>
    <row r="1181" spans="1:11" x14ac:dyDescent="0.15">
      <c r="A1181" s="383"/>
      <c r="B1181">
        <v>1845200841</v>
      </c>
      <c r="D1181" s="278" t="s">
        <v>1031</v>
      </c>
      <c r="F1181" s="157">
        <v>1200</v>
      </c>
      <c r="H1181" s="157">
        <v>1680</v>
      </c>
      <c r="J1181" s="157">
        <v>1512.1</v>
      </c>
      <c r="K1181" s="383"/>
    </row>
    <row r="1182" spans="1:11" x14ac:dyDescent="0.15">
      <c r="A1182" s="383"/>
      <c r="B1182">
        <v>1845200842</v>
      </c>
      <c r="D1182" s="278" t="s">
        <v>1909</v>
      </c>
      <c r="F1182" s="157">
        <v>715747</v>
      </c>
      <c r="H1182" s="157">
        <v>806126.4</v>
      </c>
      <c r="J1182" s="157">
        <v>617392</v>
      </c>
      <c r="K1182" s="383"/>
    </row>
    <row r="1183" spans="1:11" x14ac:dyDescent="0.15">
      <c r="A1183" s="383"/>
      <c r="B1183">
        <v>1845200846</v>
      </c>
      <c r="D1183" s="278" t="s">
        <v>1725</v>
      </c>
      <c r="F1183" s="157">
        <v>80000</v>
      </c>
      <c r="H1183" s="157">
        <v>50000</v>
      </c>
      <c r="J1183" s="157">
        <v>45177.78</v>
      </c>
      <c r="K1183" s="383"/>
    </row>
    <row r="1184" spans="1:11" x14ac:dyDescent="0.15">
      <c r="A1184" s="383"/>
      <c r="B1184">
        <v>1845200847</v>
      </c>
      <c r="D1184" s="278" t="s">
        <v>1726</v>
      </c>
      <c r="F1184" s="157">
        <v>1674000</v>
      </c>
      <c r="H1184" s="157">
        <v>1401896.16</v>
      </c>
      <c r="J1184" s="157">
        <v>1123160</v>
      </c>
      <c r="K1184" s="383"/>
    </row>
    <row r="1185" spans="1:11" x14ac:dyDescent="0.15">
      <c r="A1185" s="383"/>
      <c r="B1185">
        <v>1845300840</v>
      </c>
      <c r="D1185" s="278" t="s">
        <v>298</v>
      </c>
      <c r="F1185" s="157">
        <v>0</v>
      </c>
      <c r="H1185" s="157">
        <v>0</v>
      </c>
      <c r="J1185" s="157">
        <v>0</v>
      </c>
      <c r="K1185" s="383"/>
    </row>
    <row r="1186" spans="1:11" x14ac:dyDescent="0.15">
      <c r="A1186" s="383"/>
      <c r="B1186">
        <v>1845300841</v>
      </c>
      <c r="D1186" s="278" t="s">
        <v>439</v>
      </c>
      <c r="F1186" s="157">
        <v>55000</v>
      </c>
      <c r="H1186" s="157">
        <v>28400</v>
      </c>
      <c r="J1186" s="157">
        <v>38960</v>
      </c>
      <c r="K1186" s="383"/>
    </row>
    <row r="1187" spans="1:11" x14ac:dyDescent="0.15">
      <c r="A1187" s="383"/>
      <c r="B1187">
        <v>1845300843</v>
      </c>
      <c r="D1187" s="278" t="s">
        <v>440</v>
      </c>
      <c r="F1187" s="157">
        <v>0</v>
      </c>
      <c r="H1187" s="157">
        <v>0</v>
      </c>
      <c r="J1187" s="157">
        <v>0</v>
      </c>
      <c r="K1187" s="383"/>
    </row>
    <row r="1188" spans="1:11" x14ac:dyDescent="0.15">
      <c r="A1188" s="383"/>
      <c r="B1188">
        <v>1845300846</v>
      </c>
      <c r="D1188" s="278" t="s">
        <v>1727</v>
      </c>
      <c r="F1188" s="157">
        <v>8000</v>
      </c>
      <c r="H1188" s="157">
        <v>23916.959999999999</v>
      </c>
      <c r="J1188" s="157">
        <v>13643</v>
      </c>
      <c r="K1188" s="383"/>
    </row>
    <row r="1189" spans="1:11" x14ac:dyDescent="0.15">
      <c r="A1189" s="383"/>
      <c r="B1189">
        <v>1845300847</v>
      </c>
      <c r="D1189" s="278" t="s">
        <v>1728</v>
      </c>
      <c r="F1189" s="157">
        <v>456000</v>
      </c>
      <c r="H1189" s="157">
        <v>420000</v>
      </c>
      <c r="J1189" s="157">
        <v>438022</v>
      </c>
      <c r="K1189" s="383"/>
    </row>
    <row r="1190" spans="1:11" x14ac:dyDescent="0.15">
      <c r="A1190" s="383"/>
      <c r="B1190">
        <v>1845300848</v>
      </c>
      <c r="D1190" s="278" t="s">
        <v>1729</v>
      </c>
      <c r="F1190" s="157">
        <v>48722</v>
      </c>
      <c r="H1190" s="157">
        <v>62607.6</v>
      </c>
      <c r="J1190" s="157">
        <v>45686</v>
      </c>
      <c r="K1190" s="383"/>
    </row>
    <row r="1191" spans="1:11" x14ac:dyDescent="0.15">
      <c r="A1191" s="383"/>
      <c r="B1191">
        <v>1846100840</v>
      </c>
      <c r="D1191" s="278" t="s">
        <v>442</v>
      </c>
      <c r="F1191" s="157">
        <v>176628</v>
      </c>
      <c r="H1191" s="157">
        <v>170025.84</v>
      </c>
      <c r="J1191" s="157">
        <v>176855</v>
      </c>
      <c r="K1191" s="383"/>
    </row>
    <row r="1192" spans="1:11" s="182" customFormat="1" x14ac:dyDescent="0.15">
      <c r="A1192" s="383"/>
      <c r="B1192">
        <v>1846300841</v>
      </c>
      <c r="D1192" s="278" t="s">
        <v>443</v>
      </c>
      <c r="E1192" s="183"/>
      <c r="F1192" s="157">
        <v>80000</v>
      </c>
      <c r="G1192" s="166"/>
      <c r="H1192" s="157">
        <v>60000</v>
      </c>
      <c r="I1192" s="166"/>
      <c r="J1192" s="157">
        <v>49108</v>
      </c>
      <c r="K1192" s="383"/>
    </row>
    <row r="1193" spans="1:11" x14ac:dyDescent="0.15">
      <c r="A1193" s="383"/>
      <c r="B1193">
        <v>1846300843</v>
      </c>
      <c r="D1193" s="278" t="s">
        <v>444</v>
      </c>
      <c r="F1193" s="157">
        <v>8400</v>
      </c>
      <c r="H1193" s="157">
        <v>8400</v>
      </c>
      <c r="J1193" s="157">
        <v>13497.75</v>
      </c>
      <c r="K1193" s="383"/>
    </row>
    <row r="1194" spans="1:11" x14ac:dyDescent="0.15">
      <c r="A1194" s="383"/>
      <c r="B1194">
        <v>1846400780</v>
      </c>
      <c r="D1194" s="278" t="s">
        <v>1033</v>
      </c>
      <c r="F1194" s="157">
        <v>8000</v>
      </c>
      <c r="H1194" s="157">
        <v>8000</v>
      </c>
      <c r="J1194" s="157">
        <v>7019.38</v>
      </c>
      <c r="K1194" s="383"/>
    </row>
    <row r="1195" spans="1:11" x14ac:dyDescent="0.15">
      <c r="A1195" s="383"/>
      <c r="B1195">
        <v>1846400840</v>
      </c>
      <c r="D1195" s="278" t="s">
        <v>1415</v>
      </c>
      <c r="F1195" s="157">
        <v>0</v>
      </c>
      <c r="H1195" s="157">
        <v>0</v>
      </c>
      <c r="J1195" s="157">
        <v>52046</v>
      </c>
      <c r="K1195" s="383"/>
    </row>
    <row r="1196" spans="1:11" s="182" customFormat="1" x14ac:dyDescent="0.15">
      <c r="A1196" s="383"/>
      <c r="B1196">
        <v>1846400841</v>
      </c>
      <c r="D1196" s="278" t="s">
        <v>445</v>
      </c>
      <c r="E1196" s="183"/>
      <c r="F1196" s="157">
        <v>0</v>
      </c>
      <c r="G1196" s="166"/>
      <c r="H1196" s="157">
        <v>0</v>
      </c>
      <c r="I1196" s="166"/>
      <c r="J1196" s="157">
        <v>2606</v>
      </c>
      <c r="K1196" s="383"/>
    </row>
    <row r="1197" spans="1:11" s="182" customFormat="1" x14ac:dyDescent="0.15">
      <c r="A1197" s="383"/>
      <c r="B1197">
        <v>1846500840</v>
      </c>
      <c r="D1197" s="278" t="s">
        <v>446</v>
      </c>
      <c r="E1197" s="183"/>
      <c r="F1197" s="157">
        <v>4756615</v>
      </c>
      <c r="G1197" s="166"/>
      <c r="H1197" s="157">
        <v>4026960</v>
      </c>
      <c r="I1197" s="166"/>
      <c r="J1197" s="157">
        <v>3828895</v>
      </c>
      <c r="K1197" s="383"/>
    </row>
    <row r="1198" spans="1:11" s="182" customFormat="1" x14ac:dyDescent="0.15">
      <c r="A1198" s="383"/>
      <c r="B1198">
        <v>1846600840</v>
      </c>
      <c r="D1198" s="278" t="s">
        <v>1034</v>
      </c>
      <c r="E1198" s="183"/>
      <c r="F1198" s="157">
        <v>79200</v>
      </c>
      <c r="G1198" s="166"/>
      <c r="H1198" s="157">
        <v>95790.24</v>
      </c>
      <c r="I1198" s="166"/>
      <c r="J1198" s="157">
        <v>61156</v>
      </c>
      <c r="K1198" s="383"/>
    </row>
    <row r="1199" spans="1:11" x14ac:dyDescent="0.15">
      <c r="A1199" s="383"/>
      <c r="B1199">
        <v>1846600841</v>
      </c>
      <c r="D1199" s="278" t="s">
        <v>448</v>
      </c>
      <c r="F1199" s="157">
        <v>234000</v>
      </c>
      <c r="H1199" s="157">
        <v>223245.36</v>
      </c>
      <c r="J1199" s="157">
        <v>178873</v>
      </c>
      <c r="K1199" s="383"/>
    </row>
    <row r="1200" spans="1:11" x14ac:dyDescent="0.15">
      <c r="A1200" s="383"/>
      <c r="B1200">
        <v>1846600843</v>
      </c>
      <c r="D1200" s="278" t="s">
        <v>1479</v>
      </c>
      <c r="F1200" s="157">
        <v>0</v>
      </c>
      <c r="H1200" s="157">
        <v>24235.200000000001</v>
      </c>
      <c r="J1200" s="157">
        <v>0</v>
      </c>
      <c r="K1200" s="383"/>
    </row>
    <row r="1201" spans="1:11" x14ac:dyDescent="0.15">
      <c r="A1201" s="383"/>
      <c r="B1201">
        <v>1846700210</v>
      </c>
      <c r="D1201" s="278" t="s">
        <v>1910</v>
      </c>
      <c r="F1201" s="157">
        <v>391123</v>
      </c>
      <c r="H1201" s="157">
        <v>186956</v>
      </c>
      <c r="J1201" s="157">
        <v>190974.07</v>
      </c>
      <c r="K1201" s="383"/>
    </row>
    <row r="1202" spans="1:11" x14ac:dyDescent="0.15">
      <c r="A1202" s="383"/>
      <c r="B1202">
        <v>1846700840</v>
      </c>
      <c r="D1202" s="278" t="s">
        <v>1035</v>
      </c>
      <c r="F1202" s="157">
        <v>70000</v>
      </c>
      <c r="H1202" s="157">
        <v>10000</v>
      </c>
      <c r="J1202" s="157">
        <v>11184</v>
      </c>
      <c r="K1202" s="383"/>
    </row>
    <row r="1203" spans="1:11" x14ac:dyDescent="0.15">
      <c r="A1203" s="383"/>
      <c r="B1203">
        <v>1846700841</v>
      </c>
      <c r="D1203" s="278" t="s">
        <v>1417</v>
      </c>
      <c r="F1203" s="157">
        <v>26400</v>
      </c>
      <c r="H1203" s="157">
        <v>13170.24</v>
      </c>
      <c r="J1203" s="157">
        <v>13237</v>
      </c>
      <c r="K1203" s="383"/>
    </row>
    <row r="1204" spans="1:11" s="182" customFormat="1" x14ac:dyDescent="0.15">
      <c r="A1204" s="383"/>
      <c r="B1204">
        <v>1846700843</v>
      </c>
      <c r="D1204" s="278" t="s">
        <v>303</v>
      </c>
      <c r="E1204" s="183"/>
      <c r="F1204" s="157">
        <v>230400</v>
      </c>
      <c r="G1204" s="166"/>
      <c r="H1204" s="157">
        <v>396720</v>
      </c>
      <c r="I1204" s="166"/>
      <c r="J1204" s="157">
        <v>338585</v>
      </c>
      <c r="K1204" s="383"/>
    </row>
    <row r="1205" spans="1:11" x14ac:dyDescent="0.15">
      <c r="A1205" s="383"/>
      <c r="B1205">
        <v>1846700844</v>
      </c>
      <c r="D1205" s="278" t="s">
        <v>450</v>
      </c>
      <c r="F1205" s="157">
        <v>300000</v>
      </c>
      <c r="H1205" s="157">
        <v>350000</v>
      </c>
      <c r="J1205" s="157">
        <v>222516</v>
      </c>
      <c r="K1205" s="383"/>
    </row>
    <row r="1206" spans="1:11" x14ac:dyDescent="0.15">
      <c r="A1206" s="383"/>
      <c r="B1206">
        <v>1846700846</v>
      </c>
      <c r="D1206" s="278" t="s">
        <v>452</v>
      </c>
      <c r="F1206" s="157">
        <v>2500</v>
      </c>
      <c r="H1206" s="157">
        <v>6000</v>
      </c>
      <c r="J1206" s="157">
        <v>8859</v>
      </c>
      <c r="K1206" s="383"/>
    </row>
    <row r="1207" spans="1:11" x14ac:dyDescent="0.15">
      <c r="A1207" s="383"/>
      <c r="B1207">
        <v>1846700848</v>
      </c>
      <c r="D1207" s="278" t="s">
        <v>454</v>
      </c>
      <c r="F1207" s="157">
        <v>145260</v>
      </c>
      <c r="H1207" s="157">
        <v>107846.64</v>
      </c>
      <c r="J1207" s="157">
        <v>132209</v>
      </c>
      <c r="K1207" s="383"/>
    </row>
    <row r="1208" spans="1:11" x14ac:dyDescent="0.15">
      <c r="A1208" s="383"/>
      <c r="B1208">
        <v>1846700849</v>
      </c>
      <c r="D1208" s="278" t="s">
        <v>88</v>
      </c>
      <c r="F1208" s="157">
        <v>69600</v>
      </c>
      <c r="H1208" s="157">
        <v>25000</v>
      </c>
      <c r="J1208" s="157">
        <v>0</v>
      </c>
      <c r="K1208" s="383"/>
    </row>
    <row r="1209" spans="1:11" s="182" customFormat="1" x14ac:dyDescent="0.15">
      <c r="A1209" s="383"/>
      <c r="B1209">
        <v>1846700850</v>
      </c>
      <c r="D1209" s="278" t="s">
        <v>2188</v>
      </c>
      <c r="E1209" s="183"/>
      <c r="F1209" s="157">
        <v>102000</v>
      </c>
      <c r="G1209" s="166"/>
      <c r="H1209" s="157"/>
      <c r="I1209" s="166"/>
      <c r="J1209" s="157"/>
      <c r="K1209" s="383"/>
    </row>
    <row r="1210" spans="1:11" s="182" customFormat="1" x14ac:dyDescent="0.15">
      <c r="A1210" s="383"/>
      <c r="B1210">
        <v>1846800842</v>
      </c>
      <c r="D1210" s="278" t="s">
        <v>455</v>
      </c>
      <c r="E1210" s="183"/>
      <c r="F1210" s="157">
        <v>102000</v>
      </c>
      <c r="G1210" s="166"/>
      <c r="H1210" s="157">
        <v>18000</v>
      </c>
      <c r="I1210" s="166"/>
      <c r="J1210" s="157">
        <v>79230</v>
      </c>
      <c r="K1210" s="383"/>
    </row>
    <row r="1211" spans="1:11" x14ac:dyDescent="0.15">
      <c r="A1211" s="383"/>
      <c r="B1211">
        <v>1846800843</v>
      </c>
      <c r="D1211" s="278" t="s">
        <v>456</v>
      </c>
      <c r="F1211" s="157">
        <v>0</v>
      </c>
      <c r="H1211" s="157">
        <v>46046.879999999997</v>
      </c>
      <c r="J1211" s="157">
        <v>41018</v>
      </c>
      <c r="K1211" s="383"/>
    </row>
    <row r="1212" spans="1:11" s="182" customFormat="1" x14ac:dyDescent="0.15">
      <c r="A1212" s="383"/>
      <c r="B1212">
        <v>1846800844</v>
      </c>
      <c r="D1212" s="278" t="s">
        <v>457</v>
      </c>
      <c r="E1212" s="183"/>
      <c r="F1212" s="157">
        <v>28200</v>
      </c>
      <c r="G1212" s="166"/>
      <c r="H1212" s="157">
        <v>27000</v>
      </c>
      <c r="I1212" s="166"/>
      <c r="J1212" s="157">
        <v>7855.09</v>
      </c>
      <c r="K1212" s="383"/>
    </row>
    <row r="1213" spans="1:11" s="182" customFormat="1" x14ac:dyDescent="0.15">
      <c r="A1213" s="383"/>
      <c r="B1213">
        <v>1846800846</v>
      </c>
      <c r="D1213" s="278" t="s">
        <v>459</v>
      </c>
      <c r="E1213" s="183"/>
      <c r="F1213" s="157">
        <v>351000</v>
      </c>
      <c r="G1213" s="166"/>
      <c r="H1213" s="157">
        <v>342597.6</v>
      </c>
      <c r="I1213" s="166"/>
      <c r="J1213" s="157">
        <v>491688</v>
      </c>
      <c r="K1213" s="383"/>
    </row>
    <row r="1214" spans="1:11" x14ac:dyDescent="0.15">
      <c r="A1214" s="383"/>
      <c r="B1214">
        <v>1846800848</v>
      </c>
      <c r="D1214" s="278" t="s">
        <v>1627</v>
      </c>
      <c r="F1214" s="157">
        <v>76440</v>
      </c>
      <c r="H1214" s="157">
        <v>67222.080000000002</v>
      </c>
      <c r="J1214" s="157">
        <v>65697</v>
      </c>
      <c r="K1214" s="383"/>
    </row>
    <row r="1215" spans="1:11" x14ac:dyDescent="0.15">
      <c r="A1215" s="383"/>
      <c r="B1215">
        <v>1846800850</v>
      </c>
      <c r="D1215" s="278" t="s">
        <v>67</v>
      </c>
      <c r="F1215" s="157">
        <v>137776</v>
      </c>
      <c r="H1215" s="157">
        <v>117515.84</v>
      </c>
      <c r="J1215" s="157">
        <v>69927.12</v>
      </c>
      <c r="K1215" s="383"/>
    </row>
    <row r="1216" spans="1:11" x14ac:dyDescent="0.15">
      <c r="A1216" s="383"/>
      <c r="B1216">
        <v>1846900780</v>
      </c>
      <c r="D1216" s="278" t="s">
        <v>1548</v>
      </c>
      <c r="F1216" s="157">
        <v>180000</v>
      </c>
      <c r="H1216" s="157">
        <v>180000</v>
      </c>
      <c r="J1216" s="157">
        <v>176285</v>
      </c>
      <c r="K1216" s="383"/>
    </row>
    <row r="1217" spans="1:11" x14ac:dyDescent="0.15">
      <c r="A1217" s="383"/>
      <c r="B1217">
        <v>1847100110</v>
      </c>
      <c r="D1217" s="278" t="s">
        <v>1655</v>
      </c>
      <c r="F1217" s="157">
        <v>706207</v>
      </c>
      <c r="H1217" s="157">
        <v>307074</v>
      </c>
      <c r="J1217" s="157">
        <v>300180.26</v>
      </c>
      <c r="K1217" s="383"/>
    </row>
    <row r="1218" spans="1:11" x14ac:dyDescent="0.15">
      <c r="A1218" s="383"/>
      <c r="B1218">
        <v>1847100210</v>
      </c>
      <c r="D1218" s="278" t="s">
        <v>1911</v>
      </c>
      <c r="F1218" s="157">
        <v>81639</v>
      </c>
      <c r="H1218" s="157">
        <v>137825</v>
      </c>
      <c r="J1218" s="157">
        <v>63558.5</v>
      </c>
      <c r="K1218" s="383"/>
    </row>
    <row r="1219" spans="1:11" x14ac:dyDescent="0.15">
      <c r="A1219" s="383"/>
      <c r="B1219">
        <v>1847100841</v>
      </c>
      <c r="D1219" s="278" t="s">
        <v>461</v>
      </c>
      <c r="F1219" s="157">
        <v>250000</v>
      </c>
      <c r="H1219" s="157">
        <v>250000</v>
      </c>
      <c r="J1219" s="157">
        <v>176124.39</v>
      </c>
      <c r="K1219" s="383"/>
    </row>
    <row r="1220" spans="1:11" x14ac:dyDescent="0.15">
      <c r="A1220" s="383"/>
      <c r="B1220">
        <v>1847100843</v>
      </c>
      <c r="D1220" s="278" t="s">
        <v>462</v>
      </c>
      <c r="F1220" s="157">
        <v>160000</v>
      </c>
      <c r="H1220" s="157">
        <v>159860</v>
      </c>
      <c r="J1220" s="157">
        <v>125615.22</v>
      </c>
      <c r="K1220" s="383"/>
    </row>
    <row r="1221" spans="1:11" x14ac:dyDescent="0.15">
      <c r="A1221" s="383"/>
      <c r="B1221">
        <v>1847100845</v>
      </c>
      <c r="D1221" s="278" t="s">
        <v>1421</v>
      </c>
      <c r="F1221" s="157">
        <v>4560</v>
      </c>
      <c r="H1221" s="157">
        <v>1800</v>
      </c>
      <c r="J1221" s="157">
        <v>8040.7</v>
      </c>
      <c r="K1221" s="383"/>
    </row>
    <row r="1222" spans="1:11" x14ac:dyDescent="0.15">
      <c r="A1222" s="383"/>
      <c r="B1222">
        <v>1847100846</v>
      </c>
      <c r="D1222" s="278" t="s">
        <v>50</v>
      </c>
      <c r="F1222" s="157">
        <v>0</v>
      </c>
      <c r="H1222" s="157">
        <v>40000</v>
      </c>
      <c r="J1222" s="157">
        <v>28690</v>
      </c>
      <c r="K1222" s="383"/>
    </row>
    <row r="1223" spans="1:11" s="182" customFormat="1" x14ac:dyDescent="0.15">
      <c r="A1223" s="383"/>
      <c r="B1223">
        <v>1847100849</v>
      </c>
      <c r="D1223" s="278" t="s">
        <v>1957</v>
      </c>
      <c r="E1223" s="183"/>
      <c r="F1223" s="157">
        <v>117360</v>
      </c>
      <c r="G1223" s="166"/>
      <c r="H1223" s="157">
        <v>34272</v>
      </c>
      <c r="I1223" s="166"/>
      <c r="J1223" s="157">
        <v>13636</v>
      </c>
      <c r="K1223" s="383"/>
    </row>
    <row r="1224" spans="1:11" x14ac:dyDescent="0.15">
      <c r="A1224" s="383"/>
      <c r="B1224">
        <v>1847100852</v>
      </c>
      <c r="D1224" s="278" t="s">
        <v>69</v>
      </c>
      <c r="F1224" s="157">
        <v>0</v>
      </c>
      <c r="H1224" s="157">
        <v>0</v>
      </c>
      <c r="J1224" s="157">
        <v>7484</v>
      </c>
      <c r="K1224" s="383"/>
    </row>
    <row r="1225" spans="1:11" s="182" customFormat="1" x14ac:dyDescent="0.15">
      <c r="A1225" s="383"/>
      <c r="B1225">
        <v>1847100853</v>
      </c>
      <c r="D1225" s="278" t="s">
        <v>1958</v>
      </c>
      <c r="E1225" s="183"/>
      <c r="F1225" s="157">
        <v>0</v>
      </c>
      <c r="G1225" s="166"/>
      <c r="H1225" s="157">
        <v>0</v>
      </c>
      <c r="I1225" s="166"/>
      <c r="J1225" s="157">
        <v>1590</v>
      </c>
      <c r="K1225" s="383"/>
    </row>
    <row r="1226" spans="1:11" s="182" customFormat="1" x14ac:dyDescent="0.15">
      <c r="A1226" s="383"/>
      <c r="B1226">
        <v>1847100854</v>
      </c>
      <c r="D1226" s="278" t="s">
        <v>1959</v>
      </c>
      <c r="E1226" s="183"/>
      <c r="F1226" s="157">
        <v>5000</v>
      </c>
      <c r="G1226" s="166"/>
      <c r="H1226" s="157">
        <v>81600</v>
      </c>
      <c r="I1226" s="166"/>
      <c r="J1226" s="157">
        <v>16122</v>
      </c>
      <c r="K1226" s="383"/>
    </row>
    <row r="1227" spans="1:11" s="182" customFormat="1" x14ac:dyDescent="0.15">
      <c r="A1227" s="383"/>
      <c r="B1227">
        <v>1847110110</v>
      </c>
      <c r="D1227" s="278" t="s">
        <v>2063</v>
      </c>
      <c r="E1227" s="183"/>
      <c r="F1227" s="157">
        <v>15874</v>
      </c>
      <c r="G1227" s="166"/>
      <c r="H1227" s="157">
        <v>0</v>
      </c>
      <c r="I1227" s="166"/>
      <c r="J1227" s="157">
        <v>32516.799999999999</v>
      </c>
      <c r="K1227" s="383"/>
    </row>
    <row r="1228" spans="1:11" s="182" customFormat="1" x14ac:dyDescent="0.15">
      <c r="A1228" s="383"/>
      <c r="B1228">
        <v>1847110780</v>
      </c>
      <c r="D1228" s="278" t="s">
        <v>2167</v>
      </c>
      <c r="E1228" s="183"/>
      <c r="F1228" s="157">
        <v>210000</v>
      </c>
      <c r="G1228" s="166"/>
      <c r="H1228" s="157">
        <v>211184</v>
      </c>
      <c r="I1228" s="166"/>
      <c r="J1228" s="157">
        <v>0</v>
      </c>
      <c r="K1228" s="383"/>
    </row>
    <row r="1229" spans="1:11" x14ac:dyDescent="0.15">
      <c r="A1229" s="383"/>
      <c r="B1229">
        <v>1847110842</v>
      </c>
      <c r="D1229" s="278" t="s">
        <v>464</v>
      </c>
      <c r="F1229" s="157">
        <v>122000</v>
      </c>
      <c r="H1229" s="157">
        <v>80000</v>
      </c>
      <c r="J1229" s="157">
        <v>81275.759999999995</v>
      </c>
      <c r="K1229" s="383"/>
    </row>
    <row r="1230" spans="1:11" s="182" customFormat="1" x14ac:dyDescent="0.15">
      <c r="A1230" s="383"/>
      <c r="B1230">
        <v>1847300430</v>
      </c>
      <c r="D1230" s="278" t="s">
        <v>2168</v>
      </c>
      <c r="E1230" s="183"/>
      <c r="F1230" s="157">
        <v>1500</v>
      </c>
      <c r="G1230" s="166"/>
      <c r="H1230" s="157">
        <v>5000</v>
      </c>
      <c r="I1230" s="166"/>
      <c r="J1230" s="157">
        <v>0</v>
      </c>
      <c r="K1230" s="383"/>
    </row>
    <row r="1231" spans="1:11" x14ac:dyDescent="0.15">
      <c r="A1231" s="383"/>
      <c r="B1231">
        <v>1847300840</v>
      </c>
      <c r="D1231" s="278" t="s">
        <v>466</v>
      </c>
      <c r="F1231" s="157">
        <v>6000</v>
      </c>
      <c r="H1231" s="157">
        <v>6000</v>
      </c>
      <c r="J1231" s="157">
        <v>4843.25</v>
      </c>
      <c r="K1231" s="383"/>
    </row>
    <row r="1232" spans="1:11" x14ac:dyDescent="0.15">
      <c r="A1232" s="383"/>
      <c r="B1232">
        <v>1847300846</v>
      </c>
      <c r="D1232" s="278" t="s">
        <v>1425</v>
      </c>
      <c r="F1232" s="157">
        <v>207480</v>
      </c>
      <c r="H1232" s="157">
        <v>201164.4</v>
      </c>
      <c r="J1232" s="157">
        <v>237065</v>
      </c>
      <c r="K1232" s="383"/>
    </row>
    <row r="1233" spans="1:11" x14ac:dyDescent="0.15">
      <c r="A1233" s="383"/>
      <c r="B1233">
        <v>1847300847</v>
      </c>
      <c r="D1233" s="278" t="s">
        <v>89</v>
      </c>
      <c r="F1233" s="157">
        <v>59004</v>
      </c>
      <c r="H1233" s="157">
        <v>6000</v>
      </c>
      <c r="J1233" s="157">
        <v>6165</v>
      </c>
      <c r="K1233" s="383"/>
    </row>
    <row r="1234" spans="1:11" x14ac:dyDescent="0.15">
      <c r="A1234" s="383"/>
      <c r="B1234">
        <v>1847300848</v>
      </c>
      <c r="D1234" s="278" t="s">
        <v>1478</v>
      </c>
      <c r="F1234" s="157">
        <v>0</v>
      </c>
      <c r="H1234" s="157">
        <v>0</v>
      </c>
      <c r="J1234" s="157">
        <v>0</v>
      </c>
      <c r="K1234" s="383"/>
    </row>
    <row r="1235" spans="1:11" x14ac:dyDescent="0.15">
      <c r="A1235" s="383"/>
      <c r="B1235">
        <v>1847400422</v>
      </c>
      <c r="D1235" s="278" t="s">
        <v>1912</v>
      </c>
      <c r="F1235" s="157">
        <v>0</v>
      </c>
      <c r="H1235" s="157">
        <v>55000</v>
      </c>
      <c r="J1235" s="157">
        <v>41803.56</v>
      </c>
      <c r="K1235" s="383"/>
    </row>
    <row r="1236" spans="1:11" x14ac:dyDescent="0.15">
      <c r="A1236" s="383"/>
      <c r="B1236">
        <v>1847400540</v>
      </c>
      <c r="D1236" s="278" t="s">
        <v>875</v>
      </c>
      <c r="F1236" s="157">
        <v>0</v>
      </c>
      <c r="H1236" s="157">
        <v>7200</v>
      </c>
      <c r="J1236" s="157">
        <v>6818.81</v>
      </c>
      <c r="K1236" s="383"/>
    </row>
    <row r="1237" spans="1:11" x14ac:dyDescent="0.15">
      <c r="A1237" s="383"/>
      <c r="B1237">
        <v>1847400560</v>
      </c>
      <c r="D1237" s="278" t="s">
        <v>1913</v>
      </c>
      <c r="F1237" s="157">
        <v>0</v>
      </c>
      <c r="H1237" s="157">
        <v>4000</v>
      </c>
      <c r="J1237" s="157">
        <v>2009.06</v>
      </c>
      <c r="K1237" s="383"/>
    </row>
    <row r="1238" spans="1:11" x14ac:dyDescent="0.15">
      <c r="A1238" s="383"/>
      <c r="B1238">
        <v>1847400720</v>
      </c>
      <c r="D1238" s="278" t="s">
        <v>689</v>
      </c>
      <c r="F1238" s="157">
        <v>0</v>
      </c>
      <c r="H1238" s="157">
        <v>8500</v>
      </c>
      <c r="J1238" s="157">
        <v>4601.7</v>
      </c>
      <c r="K1238" s="383"/>
    </row>
    <row r="1239" spans="1:11" x14ac:dyDescent="0.15">
      <c r="A1239" s="383"/>
      <c r="B1239">
        <v>1847400840</v>
      </c>
      <c r="D1239" s="278" t="s">
        <v>200</v>
      </c>
      <c r="F1239" s="157">
        <v>0</v>
      </c>
      <c r="H1239" s="157">
        <v>0</v>
      </c>
      <c r="J1239" s="157">
        <v>0</v>
      </c>
      <c r="K1239" s="383"/>
    </row>
    <row r="1240" spans="1:11" x14ac:dyDescent="0.15">
      <c r="A1240" s="383"/>
      <c r="B1240">
        <v>1847400841</v>
      </c>
      <c r="D1240" s="278" t="s">
        <v>1041</v>
      </c>
      <c r="F1240" s="157">
        <v>0</v>
      </c>
      <c r="H1240" s="157">
        <v>155928</v>
      </c>
      <c r="J1240" s="157">
        <v>165657.60000000001</v>
      </c>
      <c r="K1240" s="383"/>
    </row>
    <row r="1241" spans="1:11" x14ac:dyDescent="0.15">
      <c r="A1241" s="383"/>
      <c r="B1241">
        <v>1847400843</v>
      </c>
      <c r="D1241" s="278" t="s">
        <v>1042</v>
      </c>
      <c r="F1241" s="157">
        <v>0</v>
      </c>
      <c r="H1241" s="157">
        <v>40000</v>
      </c>
      <c r="J1241" s="157">
        <v>3290</v>
      </c>
      <c r="K1241" s="383"/>
    </row>
    <row r="1242" spans="1:11" x14ac:dyDescent="0.15">
      <c r="A1242" s="383"/>
      <c r="B1242">
        <v>1847400844</v>
      </c>
      <c r="D1242" s="278" t="s">
        <v>1043</v>
      </c>
      <c r="F1242" s="157">
        <v>10000</v>
      </c>
      <c r="H1242" s="157">
        <v>0</v>
      </c>
      <c r="J1242" s="157">
        <v>0</v>
      </c>
      <c r="K1242" s="383"/>
    </row>
    <row r="1243" spans="1:11" s="182" customFormat="1" x14ac:dyDescent="0.15">
      <c r="A1243" s="383"/>
      <c r="B1243">
        <v>1847400845</v>
      </c>
      <c r="D1243" s="278" t="s">
        <v>473</v>
      </c>
      <c r="E1243" s="183"/>
      <c r="F1243" s="157">
        <v>0</v>
      </c>
      <c r="G1243" s="166"/>
      <c r="H1243" s="157">
        <v>0</v>
      </c>
      <c r="I1243" s="166"/>
      <c r="J1243" s="157">
        <v>0</v>
      </c>
      <c r="K1243" s="383"/>
    </row>
    <row r="1244" spans="1:11" s="182" customFormat="1" x14ac:dyDescent="0.15">
      <c r="A1244" s="383"/>
      <c r="B1244">
        <v>1847400846</v>
      </c>
      <c r="D1244" s="278" t="s">
        <v>2027</v>
      </c>
      <c r="E1244" s="183"/>
      <c r="F1244" s="157">
        <v>0</v>
      </c>
      <c r="G1244" s="166"/>
      <c r="H1244" s="157">
        <v>0</v>
      </c>
      <c r="I1244" s="166"/>
      <c r="J1244" s="157">
        <v>13582</v>
      </c>
      <c r="K1244" s="383"/>
    </row>
    <row r="1245" spans="1:11" s="182" customFormat="1" x14ac:dyDescent="0.15">
      <c r="A1245" s="383"/>
      <c r="B1245">
        <v>1847400930</v>
      </c>
      <c r="D1245" s="278" t="s">
        <v>2169</v>
      </c>
      <c r="E1245" s="183"/>
      <c r="F1245" s="157">
        <v>0</v>
      </c>
      <c r="G1245" s="166"/>
      <c r="H1245" s="157">
        <v>1500</v>
      </c>
      <c r="I1245" s="166"/>
      <c r="J1245" s="157">
        <v>0</v>
      </c>
      <c r="K1245" s="383"/>
    </row>
    <row r="1246" spans="1:11" x14ac:dyDescent="0.15">
      <c r="A1246" s="383"/>
      <c r="B1246">
        <v>1847401110</v>
      </c>
      <c r="D1246" s="278" t="s">
        <v>1015</v>
      </c>
      <c r="F1246" s="157">
        <v>0</v>
      </c>
      <c r="H1246" s="157">
        <v>263267</v>
      </c>
      <c r="J1246" s="157">
        <v>273636.14</v>
      </c>
      <c r="K1246" s="383"/>
    </row>
    <row r="1247" spans="1:11" x14ac:dyDescent="0.15">
      <c r="A1247" s="383"/>
      <c r="B1247">
        <v>1847402110</v>
      </c>
      <c r="D1247" s="278" t="s">
        <v>1016</v>
      </c>
      <c r="F1247" s="157">
        <v>0</v>
      </c>
      <c r="H1247" s="157">
        <v>195192</v>
      </c>
      <c r="J1247" s="157">
        <v>189817.39</v>
      </c>
      <c r="K1247" s="383"/>
    </row>
    <row r="1248" spans="1:11" x14ac:dyDescent="0.15">
      <c r="A1248" s="383"/>
      <c r="B1248">
        <v>1847404110</v>
      </c>
      <c r="D1248" s="278" t="s">
        <v>1017</v>
      </c>
      <c r="F1248" s="157">
        <v>0</v>
      </c>
      <c r="H1248" s="157">
        <v>155823</v>
      </c>
      <c r="J1248" s="157">
        <v>156477.84</v>
      </c>
      <c r="K1248" s="383"/>
    </row>
    <row r="1249" spans="1:11" s="182" customFormat="1" x14ac:dyDescent="0.15">
      <c r="A1249" s="383"/>
      <c r="B1249">
        <v>1847405110</v>
      </c>
      <c r="D1249" s="278" t="s">
        <v>1018</v>
      </c>
      <c r="E1249" s="183"/>
      <c r="F1249" s="157">
        <v>0</v>
      </c>
      <c r="G1249" s="166"/>
      <c r="H1249" s="157">
        <v>60000</v>
      </c>
      <c r="I1249" s="166"/>
      <c r="J1249" s="157">
        <v>26247.58</v>
      </c>
      <c r="K1249" s="383"/>
    </row>
    <row r="1250" spans="1:11" x14ac:dyDescent="0.15">
      <c r="A1250" s="383"/>
      <c r="B1250">
        <v>1847411110</v>
      </c>
      <c r="D1250" s="278" t="s">
        <v>1019</v>
      </c>
      <c r="F1250" s="157">
        <v>0</v>
      </c>
      <c r="H1250" s="157">
        <v>120961</v>
      </c>
      <c r="J1250" s="157">
        <v>117462.23</v>
      </c>
      <c r="K1250" s="383"/>
    </row>
    <row r="1251" spans="1:11" x14ac:dyDescent="0.15">
      <c r="A1251" s="383"/>
      <c r="B1251">
        <v>1847411210</v>
      </c>
      <c r="D1251" s="278" t="s">
        <v>1477</v>
      </c>
      <c r="F1251" s="157">
        <v>0</v>
      </c>
      <c r="H1251" s="157">
        <v>42417</v>
      </c>
      <c r="J1251" s="157">
        <v>42898.080000000002</v>
      </c>
      <c r="K1251" s="383"/>
    </row>
    <row r="1252" spans="1:11" x14ac:dyDescent="0.15">
      <c r="A1252" s="383"/>
      <c r="B1252">
        <v>1847411750</v>
      </c>
      <c r="D1252" s="278" t="s">
        <v>1044</v>
      </c>
      <c r="F1252" s="157">
        <v>0</v>
      </c>
      <c r="H1252" s="157">
        <v>5000</v>
      </c>
      <c r="J1252" s="157">
        <v>1965.3</v>
      </c>
      <c r="K1252" s="383"/>
    </row>
    <row r="1253" spans="1:11" x14ac:dyDescent="0.15">
      <c r="A1253" s="383"/>
      <c r="B1253">
        <v>1847428110</v>
      </c>
      <c r="D1253" s="278" t="s">
        <v>919</v>
      </c>
      <c r="F1253" s="157">
        <v>0</v>
      </c>
      <c r="H1253" s="157">
        <v>398160</v>
      </c>
      <c r="J1253" s="157">
        <v>522569.54</v>
      </c>
      <c r="K1253" s="383"/>
    </row>
    <row r="1254" spans="1:11" x14ac:dyDescent="0.15">
      <c r="A1254" s="383"/>
      <c r="B1254">
        <v>1848200841</v>
      </c>
      <c r="D1254" s="278" t="s">
        <v>1045</v>
      </c>
      <c r="F1254" s="157">
        <v>24000</v>
      </c>
      <c r="H1254" s="157">
        <v>25000</v>
      </c>
      <c r="J1254" s="157">
        <v>22718.1</v>
      </c>
      <c r="K1254" s="383"/>
    </row>
    <row r="1255" spans="1:11" x14ac:dyDescent="0.15">
      <c r="A1255" s="383"/>
      <c r="B1255">
        <v>1848200847</v>
      </c>
      <c r="D1255" s="278" t="s">
        <v>1365</v>
      </c>
      <c r="F1255" s="157">
        <v>13000</v>
      </c>
      <c r="H1255" s="157">
        <v>11000</v>
      </c>
      <c r="J1255" s="157">
        <v>10510</v>
      </c>
      <c r="K1255" s="383"/>
    </row>
    <row r="1256" spans="1:11" x14ac:dyDescent="0.15">
      <c r="A1256" s="383"/>
      <c r="B1256">
        <v>1848300580</v>
      </c>
      <c r="D1256" s="278" t="s">
        <v>1046</v>
      </c>
      <c r="F1256" s="157">
        <v>14260</v>
      </c>
      <c r="H1256" s="157">
        <v>13000</v>
      </c>
      <c r="J1256" s="157">
        <v>5144.6400000000003</v>
      </c>
      <c r="K1256" s="383"/>
    </row>
    <row r="1257" spans="1:11" x14ac:dyDescent="0.15">
      <c r="A1257" s="383"/>
      <c r="B1257">
        <v>1848300840</v>
      </c>
      <c r="D1257" s="278" t="s">
        <v>1047</v>
      </c>
      <c r="F1257" s="157">
        <v>13000</v>
      </c>
      <c r="H1257" s="157">
        <v>20000</v>
      </c>
      <c r="J1257" s="157">
        <v>6688.91</v>
      </c>
      <c r="K1257" s="383"/>
    </row>
    <row r="1258" spans="1:11" s="182" customFormat="1" x14ac:dyDescent="0.15">
      <c r="A1258" s="383"/>
      <c r="B1258">
        <v>1848300842</v>
      </c>
      <c r="D1258" s="278" t="s">
        <v>2086</v>
      </c>
      <c r="E1258" s="183"/>
      <c r="F1258" s="157">
        <v>27000</v>
      </c>
      <c r="G1258" s="166"/>
      <c r="H1258" s="157"/>
      <c r="I1258" s="166"/>
      <c r="J1258" s="157"/>
      <c r="K1258" s="383"/>
    </row>
    <row r="1259" spans="1:11" x14ac:dyDescent="0.15">
      <c r="A1259" s="383"/>
      <c r="B1259">
        <v>1848400840</v>
      </c>
      <c r="D1259" s="278" t="s">
        <v>476</v>
      </c>
      <c r="F1259" s="157">
        <v>2000</v>
      </c>
      <c r="H1259" s="157">
        <v>2000</v>
      </c>
      <c r="J1259" s="157">
        <v>2468.15</v>
      </c>
      <c r="K1259" s="383"/>
    </row>
    <row r="1260" spans="1:11" x14ac:dyDescent="0.15">
      <c r="A1260" s="383"/>
      <c r="B1260">
        <v>1848500840</v>
      </c>
      <c r="D1260" s="278" t="s">
        <v>477</v>
      </c>
      <c r="F1260" s="157">
        <v>49000</v>
      </c>
      <c r="H1260" s="157">
        <v>50000</v>
      </c>
      <c r="J1260" s="157">
        <v>36000</v>
      </c>
      <c r="K1260" s="383"/>
    </row>
    <row r="1261" spans="1:11" s="182" customFormat="1" x14ac:dyDescent="0.15">
      <c r="A1261" s="383"/>
      <c r="B1261">
        <v>1848800110</v>
      </c>
      <c r="D1261" s="278" t="s">
        <v>523</v>
      </c>
      <c r="E1261" s="183"/>
      <c r="F1261" s="157">
        <v>1882838</v>
      </c>
      <c r="G1261" s="166"/>
      <c r="H1261" s="157">
        <v>1690740</v>
      </c>
      <c r="I1261" s="166"/>
      <c r="J1261" s="157">
        <v>1608216.36</v>
      </c>
      <c r="K1261" s="383"/>
    </row>
    <row r="1262" spans="1:11" s="182" customFormat="1" x14ac:dyDescent="0.15">
      <c r="A1262" s="383"/>
      <c r="B1262">
        <v>1848800780</v>
      </c>
      <c r="D1262" s="278" t="s">
        <v>1048</v>
      </c>
      <c r="E1262" s="183"/>
      <c r="F1262" s="157">
        <v>30000</v>
      </c>
      <c r="G1262" s="166"/>
      <c r="H1262" s="157">
        <v>0</v>
      </c>
      <c r="I1262" s="166"/>
      <c r="J1262" s="157">
        <v>30000</v>
      </c>
      <c r="K1262" s="383"/>
    </row>
    <row r="1263" spans="1:11" s="182" customFormat="1" x14ac:dyDescent="0.15">
      <c r="A1263" s="383"/>
      <c r="B1263">
        <v>1848801210</v>
      </c>
      <c r="D1263" s="278" t="s">
        <v>1020</v>
      </c>
      <c r="E1263" s="183"/>
      <c r="F1263" s="157">
        <v>0</v>
      </c>
      <c r="G1263" s="166"/>
      <c r="H1263" s="157">
        <v>0</v>
      </c>
      <c r="I1263" s="166"/>
      <c r="J1263" s="157">
        <v>0</v>
      </c>
      <c r="K1263" s="383"/>
    </row>
    <row r="1264" spans="1:11" s="182" customFormat="1" x14ac:dyDescent="0.15">
      <c r="A1264" s="383"/>
      <c r="B1264">
        <v>1848801750</v>
      </c>
      <c r="D1264" s="278" t="s">
        <v>1049</v>
      </c>
      <c r="E1264" s="183"/>
      <c r="F1264" s="157">
        <v>5000</v>
      </c>
      <c r="G1264" s="166"/>
      <c r="H1264" s="157">
        <v>8000</v>
      </c>
      <c r="I1264" s="166"/>
      <c r="J1264" s="157">
        <v>29699.96</v>
      </c>
      <c r="K1264" s="383"/>
    </row>
    <row r="1265" spans="1:11" s="182" customFormat="1" x14ac:dyDescent="0.15">
      <c r="A1265" s="383"/>
      <c r="B1265">
        <v>1849000840</v>
      </c>
      <c r="D1265" s="278" t="s">
        <v>1050</v>
      </c>
      <c r="E1265" s="183"/>
      <c r="F1265" s="157">
        <v>0</v>
      </c>
      <c r="G1265" s="166"/>
      <c r="H1265" s="157">
        <v>21346.560000000001</v>
      </c>
      <c r="I1265" s="166"/>
      <c r="J1265" s="157">
        <v>0</v>
      </c>
      <c r="K1265" s="383"/>
    </row>
    <row r="1266" spans="1:11" s="182" customFormat="1" x14ac:dyDescent="0.15">
      <c r="A1266" s="383"/>
      <c r="B1266">
        <v>1849000842</v>
      </c>
      <c r="D1266" s="278" t="s">
        <v>1914</v>
      </c>
      <c r="E1266" s="183"/>
      <c r="F1266" s="157">
        <v>22968</v>
      </c>
      <c r="G1266" s="166"/>
      <c r="H1266" s="157">
        <v>21138.48</v>
      </c>
      <c r="I1266" s="166"/>
      <c r="J1266" s="157">
        <v>32472</v>
      </c>
      <c r="K1266" s="383"/>
    </row>
    <row r="1267" spans="1:11" s="182" customFormat="1" x14ac:dyDescent="0.15">
      <c r="A1267" s="383"/>
      <c r="B1267">
        <v>1849000843</v>
      </c>
      <c r="D1267" s="278" t="s">
        <v>1053</v>
      </c>
      <c r="E1267" s="183"/>
      <c r="F1267" s="157">
        <v>0</v>
      </c>
      <c r="G1267" s="166"/>
      <c r="H1267" s="157">
        <v>0</v>
      </c>
      <c r="I1267" s="166"/>
      <c r="J1267" s="157">
        <v>0</v>
      </c>
      <c r="K1267" s="383"/>
    </row>
    <row r="1268" spans="1:11" x14ac:dyDescent="0.15">
      <c r="A1268" s="383"/>
      <c r="B1268">
        <v>1849000844</v>
      </c>
      <c r="D1268" s="278" t="s">
        <v>1054</v>
      </c>
      <c r="F1268" s="157">
        <v>0</v>
      </c>
      <c r="H1268" s="157">
        <v>119768.4</v>
      </c>
      <c r="J1268" s="157">
        <v>90405</v>
      </c>
      <c r="K1268" s="383"/>
    </row>
    <row r="1269" spans="1:11" x14ac:dyDescent="0.15">
      <c r="A1269" s="383"/>
      <c r="B1269">
        <v>1849000845</v>
      </c>
      <c r="D1269" s="278" t="s">
        <v>1055</v>
      </c>
      <c r="F1269" s="157">
        <v>30000</v>
      </c>
      <c r="H1269" s="157">
        <v>75000</v>
      </c>
      <c r="J1269" s="157">
        <v>66499</v>
      </c>
      <c r="K1269" s="383"/>
    </row>
    <row r="1270" spans="1:11" x14ac:dyDescent="0.15">
      <c r="A1270" s="383"/>
      <c r="B1270">
        <v>1849000851</v>
      </c>
      <c r="D1270" s="278" t="s">
        <v>1733</v>
      </c>
      <c r="F1270" s="157">
        <v>186600</v>
      </c>
      <c r="H1270" s="157">
        <v>180846</v>
      </c>
      <c r="J1270" s="157">
        <v>176978</v>
      </c>
      <c r="K1270" s="383"/>
    </row>
    <row r="1271" spans="1:11" s="182" customFormat="1" x14ac:dyDescent="0.15">
      <c r="A1271" s="383"/>
      <c r="B1271">
        <v>1849000852</v>
      </c>
      <c r="D1271" s="278" t="s">
        <v>2087</v>
      </c>
      <c r="E1271" s="183"/>
      <c r="F1271" s="157">
        <v>0</v>
      </c>
      <c r="G1271" s="166"/>
      <c r="H1271" s="157">
        <v>0</v>
      </c>
      <c r="I1271" s="166"/>
      <c r="J1271" s="157">
        <v>0</v>
      </c>
      <c r="K1271" s="383"/>
    </row>
    <row r="1272" spans="1:11" x14ac:dyDescent="0.15">
      <c r="A1272" s="383"/>
      <c r="B1272">
        <v>1849001841</v>
      </c>
      <c r="D1272" s="278" t="s">
        <v>1366</v>
      </c>
      <c r="F1272" s="157">
        <v>200000</v>
      </c>
      <c r="H1272" s="157">
        <v>200000</v>
      </c>
      <c r="J1272" s="157">
        <v>198088.77</v>
      </c>
      <c r="K1272" s="383"/>
    </row>
    <row r="1273" spans="1:11" x14ac:dyDescent="0.15">
      <c r="A1273" s="383"/>
      <c r="B1273">
        <v>1849001844</v>
      </c>
      <c r="D1273" s="278" t="s">
        <v>485</v>
      </c>
      <c r="F1273" s="157">
        <v>5000</v>
      </c>
      <c r="H1273" s="157">
        <v>15000</v>
      </c>
      <c r="J1273" s="157">
        <v>0</v>
      </c>
      <c r="K1273" s="383"/>
    </row>
    <row r="1274" spans="1:11" x14ac:dyDescent="0.15">
      <c r="A1274" s="383"/>
      <c r="B1274">
        <v>1849001847</v>
      </c>
      <c r="D1274" s="278" t="s">
        <v>486</v>
      </c>
      <c r="F1274" s="157">
        <v>5000</v>
      </c>
      <c r="H1274" s="157">
        <v>20000</v>
      </c>
      <c r="J1274" s="157">
        <v>19027</v>
      </c>
      <c r="K1274" s="383"/>
    </row>
    <row r="1275" spans="1:11" x14ac:dyDescent="0.15">
      <c r="A1275" s="383"/>
      <c r="B1275">
        <v>1849001849</v>
      </c>
      <c r="D1275" s="278" t="s">
        <v>487</v>
      </c>
      <c r="F1275" s="157">
        <v>20400</v>
      </c>
      <c r="H1275" s="157">
        <v>21000</v>
      </c>
      <c r="J1275" s="157">
        <v>15821</v>
      </c>
      <c r="K1275" s="383"/>
    </row>
    <row r="1276" spans="1:11" s="182" customFormat="1" x14ac:dyDescent="0.15">
      <c r="A1276" s="383"/>
      <c r="B1276">
        <v>1849002849</v>
      </c>
      <c r="D1276" s="278" t="s">
        <v>1056</v>
      </c>
      <c r="E1276" s="183"/>
      <c r="F1276" s="157">
        <v>0</v>
      </c>
      <c r="G1276" s="166"/>
      <c r="H1276" s="157">
        <v>0</v>
      </c>
      <c r="I1276" s="166"/>
      <c r="J1276" s="157">
        <v>7975</v>
      </c>
      <c r="K1276" s="383"/>
    </row>
    <row r="1277" spans="1:11" s="182" customFormat="1" x14ac:dyDescent="0.15">
      <c r="A1277" s="383"/>
      <c r="B1277">
        <v>1849300840</v>
      </c>
      <c r="D1277" s="278" t="s">
        <v>1439</v>
      </c>
      <c r="E1277" s="183"/>
      <c r="F1277" s="157">
        <v>17000</v>
      </c>
      <c r="G1277" s="166"/>
      <c r="H1277" s="157">
        <v>20000</v>
      </c>
      <c r="I1277" s="166"/>
      <c r="J1277" s="157">
        <v>0</v>
      </c>
      <c r="K1277" s="383"/>
    </row>
    <row r="1278" spans="1:11" ht="14" thickBot="1" x14ac:dyDescent="0.2">
      <c r="A1278" s="383"/>
      <c r="D1278" s="282"/>
      <c r="K1278" s="383"/>
    </row>
    <row r="1279" spans="1:11" x14ac:dyDescent="0.15">
      <c r="A1279" s="383"/>
      <c r="D1279" s="283" t="s">
        <v>1254</v>
      </c>
      <c r="F1279" s="168">
        <v>68798795</v>
      </c>
      <c r="G1279" s="169">
        <v>0</v>
      </c>
      <c r="H1279" s="168">
        <v>65247068.360000014</v>
      </c>
      <c r="I1279" s="169">
        <v>0</v>
      </c>
      <c r="J1279" s="168">
        <v>60239424.630000003</v>
      </c>
      <c r="K1279" s="383"/>
    </row>
    <row r="1280" spans="1:11" s="182" customFormat="1" x14ac:dyDescent="0.15">
      <c r="A1280" s="383"/>
      <c r="B1280" s="182">
        <v>1851000430</v>
      </c>
      <c r="D1280" s="278" t="s">
        <v>2170</v>
      </c>
      <c r="E1280" s="183"/>
      <c r="F1280" s="157">
        <v>96000</v>
      </c>
      <c r="G1280" s="169"/>
      <c r="H1280" s="157">
        <v>100000</v>
      </c>
      <c r="I1280" s="169"/>
      <c r="J1280" s="157">
        <v>0</v>
      </c>
      <c r="K1280" s="383"/>
    </row>
    <row r="1281" spans="1:11" s="182" customFormat="1" x14ac:dyDescent="0.15">
      <c r="A1281" s="383"/>
      <c r="B1281">
        <v>1851000750</v>
      </c>
      <c r="D1281" s="278" t="s">
        <v>1915</v>
      </c>
      <c r="E1281" s="183"/>
      <c r="F1281" s="157">
        <v>100000</v>
      </c>
      <c r="G1281" s="169"/>
      <c r="H1281" s="157">
        <v>122996</v>
      </c>
      <c r="I1281" s="169"/>
      <c r="J1281" s="157">
        <v>119150.01</v>
      </c>
      <c r="K1281" s="383"/>
    </row>
    <row r="1282" spans="1:11" s="182" customFormat="1" x14ac:dyDescent="0.15">
      <c r="A1282" s="383"/>
      <c r="B1282">
        <v>1851000780</v>
      </c>
      <c r="D1282" s="278" t="s">
        <v>1916</v>
      </c>
      <c r="E1282" s="183"/>
      <c r="F1282" s="157">
        <v>480</v>
      </c>
      <c r="G1282" s="169"/>
      <c r="H1282" s="157">
        <v>480</v>
      </c>
      <c r="I1282" s="169"/>
      <c r="J1282" s="157">
        <v>423.67</v>
      </c>
      <c r="K1282" s="383"/>
    </row>
    <row r="1283" spans="1:11" s="182" customFormat="1" x14ac:dyDescent="0.15">
      <c r="A1283" s="383"/>
      <c r="B1283">
        <v>1851000810</v>
      </c>
      <c r="D1283" s="278" t="s">
        <v>794</v>
      </c>
      <c r="E1283" s="183"/>
      <c r="F1283" s="157">
        <v>1840962</v>
      </c>
      <c r="G1283" s="169"/>
      <c r="H1283" s="157">
        <v>1712050</v>
      </c>
      <c r="I1283" s="169"/>
      <c r="J1283" s="157">
        <v>1712050</v>
      </c>
      <c r="K1283" s="383"/>
    </row>
    <row r="1284" spans="1:11" x14ac:dyDescent="0.15">
      <c r="A1284" s="383"/>
      <c r="B1284">
        <v>1851000910</v>
      </c>
      <c r="D1284" s="278" t="s">
        <v>1917</v>
      </c>
      <c r="F1284" s="157">
        <v>0</v>
      </c>
      <c r="H1284" s="157">
        <v>0</v>
      </c>
      <c r="J1284" s="157">
        <v>160000</v>
      </c>
      <c r="K1284" s="383"/>
    </row>
    <row r="1285" spans="1:11" s="182" customFormat="1" ht="14" thickBot="1" x14ac:dyDescent="0.2">
      <c r="A1285" s="383"/>
      <c r="B1285" s="182">
        <v>1869000980</v>
      </c>
      <c r="D1285" s="279" t="s">
        <v>886</v>
      </c>
      <c r="E1285" s="183"/>
      <c r="F1285" s="157">
        <v>0</v>
      </c>
      <c r="G1285" s="166"/>
      <c r="H1285" s="157">
        <v>0</v>
      </c>
      <c r="I1285" s="166"/>
      <c r="J1285" s="157">
        <v>0</v>
      </c>
      <c r="K1285" s="383"/>
    </row>
    <row r="1286" spans="1:11" x14ac:dyDescent="0.15">
      <c r="A1286" s="383"/>
      <c r="D1286" s="283" t="s">
        <v>1255</v>
      </c>
      <c r="F1286" s="168">
        <v>2037442</v>
      </c>
      <c r="G1286" s="169">
        <v>0</v>
      </c>
      <c r="H1286" s="168">
        <v>1935526</v>
      </c>
      <c r="I1286" s="169">
        <v>0</v>
      </c>
      <c r="J1286" s="168">
        <v>1991623.6799999999</v>
      </c>
      <c r="K1286" s="383"/>
    </row>
    <row r="1287" spans="1:11" x14ac:dyDescent="0.15">
      <c r="A1287" s="383"/>
      <c r="B1287">
        <v>1860000410</v>
      </c>
      <c r="D1287" s="278" t="s">
        <v>873</v>
      </c>
      <c r="F1287" s="157">
        <v>150000</v>
      </c>
      <c r="H1287" s="157">
        <v>100000</v>
      </c>
      <c r="J1287" s="157">
        <v>163265.41</v>
      </c>
      <c r="K1287" s="383"/>
    </row>
    <row r="1288" spans="1:11" x14ac:dyDescent="0.15">
      <c r="A1288" s="383"/>
      <c r="B1288">
        <v>1860000470</v>
      </c>
      <c r="D1288" s="278" t="s">
        <v>884</v>
      </c>
      <c r="F1288" s="157">
        <v>1000</v>
      </c>
      <c r="H1288" s="157">
        <v>1500</v>
      </c>
      <c r="J1288" s="157">
        <v>1439.1</v>
      </c>
      <c r="K1288" s="383"/>
    </row>
    <row r="1289" spans="1:11" x14ac:dyDescent="0.15">
      <c r="A1289" s="383"/>
      <c r="B1289">
        <v>1860000511</v>
      </c>
      <c r="D1289" s="278" t="s">
        <v>1918</v>
      </c>
      <c r="F1289" s="157">
        <v>952.8</v>
      </c>
      <c r="H1289" s="157">
        <v>1500</v>
      </c>
      <c r="J1289" s="157">
        <v>213.1</v>
      </c>
      <c r="K1289" s="383"/>
    </row>
    <row r="1290" spans="1:11" s="182" customFormat="1" x14ac:dyDescent="0.15">
      <c r="A1290" s="383"/>
      <c r="B1290">
        <v>1860000540</v>
      </c>
      <c r="D1290" s="278" t="s">
        <v>209</v>
      </c>
      <c r="E1290" s="183"/>
      <c r="F1290" s="157">
        <v>6960</v>
      </c>
      <c r="G1290" s="166"/>
      <c r="H1290" s="157">
        <v>9000</v>
      </c>
      <c r="I1290" s="166"/>
      <c r="J1290" s="157">
        <v>4725.51</v>
      </c>
      <c r="K1290" s="383"/>
    </row>
    <row r="1291" spans="1:11" s="182" customFormat="1" x14ac:dyDescent="0.15">
      <c r="A1291" s="383"/>
      <c r="B1291">
        <v>1860000581</v>
      </c>
      <c r="D1291" s="278" t="s">
        <v>1919</v>
      </c>
      <c r="E1291" s="183"/>
      <c r="F1291" s="157">
        <v>4680</v>
      </c>
      <c r="G1291" s="166"/>
      <c r="H1291" s="157">
        <v>5400</v>
      </c>
      <c r="I1291" s="166"/>
      <c r="J1291" s="157">
        <v>4262.2700000000004</v>
      </c>
      <c r="K1291" s="383"/>
    </row>
    <row r="1292" spans="1:11" s="182" customFormat="1" x14ac:dyDescent="0.15">
      <c r="A1292" s="383"/>
      <c r="B1292">
        <v>1860000780</v>
      </c>
      <c r="D1292" s="278" t="s">
        <v>580</v>
      </c>
      <c r="E1292" s="183"/>
      <c r="F1292" s="157">
        <v>585000</v>
      </c>
      <c r="G1292" s="166"/>
      <c r="H1292" s="157">
        <v>584052</v>
      </c>
      <c r="I1292" s="166"/>
      <c r="J1292" s="157">
        <v>267612.62</v>
      </c>
      <c r="K1292" s="383"/>
    </row>
    <row r="1293" spans="1:11" x14ac:dyDescent="0.15">
      <c r="A1293" s="383"/>
      <c r="B1293">
        <v>1860000910</v>
      </c>
      <c r="D1293" s="278" t="s">
        <v>1750</v>
      </c>
      <c r="F1293" s="157">
        <v>168000</v>
      </c>
      <c r="H1293" s="157">
        <v>168318</v>
      </c>
      <c r="J1293" s="157">
        <v>213769</v>
      </c>
      <c r="K1293" s="383"/>
    </row>
    <row r="1294" spans="1:11" s="182" customFormat="1" x14ac:dyDescent="0.15">
      <c r="A1294" s="383"/>
      <c r="B1294">
        <v>1860000930</v>
      </c>
      <c r="D1294" s="278" t="s">
        <v>2171</v>
      </c>
      <c r="E1294" s="183"/>
      <c r="F1294" s="157">
        <v>10000</v>
      </c>
      <c r="G1294" s="166"/>
      <c r="H1294" s="157">
        <v>12630</v>
      </c>
      <c r="I1294" s="166"/>
      <c r="J1294" s="157">
        <v>0</v>
      </c>
      <c r="K1294" s="383"/>
    </row>
    <row r="1295" spans="1:11" x14ac:dyDescent="0.15">
      <c r="A1295" s="383"/>
      <c r="B1295">
        <v>1869000110</v>
      </c>
      <c r="D1295" s="278" t="s">
        <v>538</v>
      </c>
      <c r="F1295" s="157">
        <v>512931</v>
      </c>
      <c r="H1295" s="157">
        <v>460744</v>
      </c>
      <c r="J1295" s="157">
        <v>462694.63</v>
      </c>
      <c r="K1295" s="383"/>
    </row>
    <row r="1296" spans="1:11" ht="14" thickBot="1" x14ac:dyDescent="0.2">
      <c r="A1296" s="383"/>
      <c r="B1296" s="182">
        <v>1869000980</v>
      </c>
      <c r="C1296" s="182"/>
      <c r="D1296" s="279" t="s">
        <v>886</v>
      </c>
      <c r="F1296" s="157">
        <v>50000</v>
      </c>
      <c r="K1296" s="383"/>
    </row>
    <row r="1297" spans="1:11" x14ac:dyDescent="0.15">
      <c r="A1297" s="383"/>
      <c r="D1297" s="283" t="s">
        <v>1256</v>
      </c>
      <c r="F1297" s="168">
        <v>1489523.8</v>
      </c>
      <c r="G1297" s="169">
        <v>0</v>
      </c>
      <c r="H1297" s="168">
        <v>1343144</v>
      </c>
      <c r="I1297" s="169">
        <v>0</v>
      </c>
      <c r="J1297" s="168">
        <v>1117981.6400000001</v>
      </c>
      <c r="K1297" s="383"/>
    </row>
    <row r="1298" spans="1:11" ht="14" thickBot="1" x14ac:dyDescent="0.2">
      <c r="A1298" s="383"/>
      <c r="B1298" s="155">
        <v>1879000810</v>
      </c>
      <c r="D1298" s="282" t="s">
        <v>887</v>
      </c>
      <c r="F1298" s="157">
        <v>188825</v>
      </c>
      <c r="H1298" s="157">
        <v>161850</v>
      </c>
      <c r="J1298" s="157">
        <v>162150</v>
      </c>
      <c r="K1298" s="383"/>
    </row>
    <row r="1299" spans="1:11" ht="14" thickBot="1" x14ac:dyDescent="0.2">
      <c r="A1299" s="383"/>
      <c r="D1299" s="280" t="s">
        <v>1257</v>
      </c>
      <c r="F1299" s="179">
        <v>188825</v>
      </c>
      <c r="G1299" s="169">
        <v>0</v>
      </c>
      <c r="H1299" s="179">
        <v>161850</v>
      </c>
      <c r="I1299" s="169">
        <v>0</v>
      </c>
      <c r="J1299" s="179">
        <v>162150</v>
      </c>
      <c r="K1299" s="383"/>
    </row>
    <row r="1300" spans="1:11" ht="14" thickBot="1" x14ac:dyDescent="0.2">
      <c r="A1300" s="383"/>
      <c r="D1300" s="280" t="s">
        <v>1258</v>
      </c>
      <c r="F1300" s="162">
        <v>232151068.79999998</v>
      </c>
      <c r="G1300" s="169">
        <v>0</v>
      </c>
      <c r="H1300" s="162">
        <v>223647065.31</v>
      </c>
      <c r="I1300" s="169">
        <v>0</v>
      </c>
      <c r="J1300" s="162">
        <v>210332659.18999994</v>
      </c>
      <c r="K1300" s="383"/>
    </row>
    <row r="1301" spans="1:11" x14ac:dyDescent="0.15">
      <c r="A1301" s="383"/>
      <c r="B1301" s="155">
        <v>1913000110</v>
      </c>
      <c r="D1301" s="181" t="s">
        <v>523</v>
      </c>
      <c r="F1301" s="157">
        <v>0</v>
      </c>
      <c r="H1301" s="157">
        <v>0</v>
      </c>
      <c r="J1301" s="157">
        <v>397798.41</v>
      </c>
      <c r="K1301" s="383"/>
    </row>
    <row r="1302" spans="1:11" s="182" customFormat="1" ht="14" thickBot="1" x14ac:dyDescent="0.2">
      <c r="A1302" s="383"/>
      <c r="B1302" s="182">
        <v>1913000750</v>
      </c>
      <c r="D1302" s="282" t="s">
        <v>714</v>
      </c>
      <c r="E1302" s="183"/>
      <c r="F1302" s="157">
        <v>0</v>
      </c>
      <c r="G1302" s="166"/>
      <c r="H1302" s="157">
        <v>0</v>
      </c>
      <c r="I1302" s="166"/>
      <c r="J1302" s="157">
        <v>681.6</v>
      </c>
      <c r="K1302" s="383"/>
    </row>
    <row r="1303" spans="1:11" x14ac:dyDescent="0.15">
      <c r="A1303" s="383"/>
      <c r="D1303" s="283" t="s">
        <v>1259</v>
      </c>
      <c r="F1303" s="168">
        <v>0</v>
      </c>
      <c r="G1303" s="169">
        <v>0</v>
      </c>
      <c r="H1303" s="168">
        <v>0</v>
      </c>
      <c r="I1303" s="169">
        <v>0</v>
      </c>
      <c r="J1303" s="168">
        <v>398480.00999999995</v>
      </c>
      <c r="K1303" s="383"/>
    </row>
    <row r="1304" spans="1:11" x14ac:dyDescent="0.15">
      <c r="A1304" s="383"/>
      <c r="B1304">
        <v>1931000110</v>
      </c>
      <c r="D1304" s="278" t="s">
        <v>523</v>
      </c>
      <c r="F1304" s="157">
        <v>308365</v>
      </c>
      <c r="H1304" s="157">
        <v>433901</v>
      </c>
      <c r="J1304" s="157">
        <v>308256.08</v>
      </c>
      <c r="K1304" s="383"/>
    </row>
    <row r="1305" spans="1:11" x14ac:dyDescent="0.15">
      <c r="A1305" s="383"/>
      <c r="B1305">
        <v>1931000511</v>
      </c>
      <c r="D1305" s="278" t="s">
        <v>889</v>
      </c>
      <c r="F1305" s="157">
        <v>1226.4000000000001</v>
      </c>
      <c r="H1305" s="157">
        <v>1200</v>
      </c>
      <c r="J1305" s="157">
        <v>724.89</v>
      </c>
      <c r="K1305" s="383"/>
    </row>
    <row r="1306" spans="1:11" s="182" customFormat="1" x14ac:dyDescent="0.15">
      <c r="A1306" s="383"/>
      <c r="B1306">
        <v>1931000560</v>
      </c>
      <c r="D1306" s="278" t="s">
        <v>890</v>
      </c>
      <c r="E1306" s="183"/>
      <c r="F1306" s="157">
        <v>2500</v>
      </c>
      <c r="G1306" s="166"/>
      <c r="H1306" s="157">
        <v>2000</v>
      </c>
      <c r="I1306" s="166"/>
      <c r="J1306" s="157">
        <v>292.5</v>
      </c>
      <c r="K1306" s="383"/>
    </row>
    <row r="1307" spans="1:11" x14ac:dyDescent="0.15">
      <c r="A1307" s="383"/>
      <c r="B1307">
        <v>1931000581</v>
      </c>
      <c r="D1307" s="278" t="s">
        <v>1920</v>
      </c>
      <c r="F1307" s="157">
        <v>5196</v>
      </c>
      <c r="H1307" s="157">
        <v>5400</v>
      </c>
      <c r="J1307" s="157">
        <v>4885.34</v>
      </c>
      <c r="K1307" s="383"/>
    </row>
    <row r="1308" spans="1:11" x14ac:dyDescent="0.15">
      <c r="A1308" s="383"/>
      <c r="B1308">
        <v>1931000750</v>
      </c>
      <c r="D1308" s="278" t="s">
        <v>714</v>
      </c>
      <c r="F1308" s="157">
        <v>288520</v>
      </c>
      <c r="H1308" s="157">
        <v>185512</v>
      </c>
      <c r="J1308" s="157">
        <v>217233</v>
      </c>
      <c r="K1308" s="383"/>
    </row>
    <row r="1309" spans="1:11" x14ac:dyDescent="0.15">
      <c r="A1309" s="383"/>
      <c r="B1309">
        <v>1931000751</v>
      </c>
      <c r="D1309" s="278" t="s">
        <v>1921</v>
      </c>
      <c r="F1309" s="157">
        <v>275000</v>
      </c>
      <c r="H1309" s="157">
        <v>280448</v>
      </c>
      <c r="J1309" s="157">
        <v>14500</v>
      </c>
      <c r="K1309" s="383"/>
    </row>
    <row r="1310" spans="1:11" s="182" customFormat="1" x14ac:dyDescent="0.15">
      <c r="A1310" s="383"/>
      <c r="B1310">
        <v>1931000930</v>
      </c>
      <c r="D1310" s="278" t="s">
        <v>1922</v>
      </c>
      <c r="E1310" s="183"/>
      <c r="F1310" s="157">
        <v>5000</v>
      </c>
      <c r="G1310" s="166"/>
      <c r="H1310" s="157">
        <v>7000</v>
      </c>
      <c r="I1310" s="166"/>
      <c r="J1310" s="157">
        <v>8012</v>
      </c>
      <c r="K1310" s="383"/>
    </row>
    <row r="1311" spans="1:11" x14ac:dyDescent="0.15">
      <c r="A1311" s="383"/>
      <c r="B1311">
        <v>1931000980</v>
      </c>
      <c r="D1311" s="278" t="s">
        <v>580</v>
      </c>
      <c r="F1311" s="157">
        <v>112000</v>
      </c>
      <c r="H1311" s="157">
        <v>18000</v>
      </c>
      <c r="J1311" s="157">
        <v>68578.539999999994</v>
      </c>
      <c r="K1311" s="383"/>
    </row>
    <row r="1312" spans="1:11" x14ac:dyDescent="0.15">
      <c r="A1312" s="383"/>
      <c r="B1312">
        <v>1937000110</v>
      </c>
      <c r="D1312" s="278" t="s">
        <v>523</v>
      </c>
      <c r="F1312" s="157">
        <v>0</v>
      </c>
      <c r="H1312" s="157">
        <v>175932</v>
      </c>
      <c r="J1312" s="157">
        <v>170330.26</v>
      </c>
      <c r="K1312" s="383"/>
    </row>
    <row r="1313" spans="1:11" x14ac:dyDescent="0.15">
      <c r="A1313" s="383"/>
      <c r="B1313">
        <v>1937000430</v>
      </c>
      <c r="D1313" s="278" t="s">
        <v>1923</v>
      </c>
      <c r="F1313" s="157">
        <v>88800</v>
      </c>
      <c r="H1313" s="157">
        <v>93000</v>
      </c>
      <c r="J1313" s="157">
        <v>82953.39</v>
      </c>
      <c r="K1313" s="383"/>
    </row>
    <row r="1314" spans="1:11" x14ac:dyDescent="0.15">
      <c r="A1314" s="383"/>
      <c r="B1314">
        <v>1937000780</v>
      </c>
      <c r="D1314" s="278" t="s">
        <v>580</v>
      </c>
      <c r="F1314" s="157">
        <v>600</v>
      </c>
      <c r="H1314" s="157">
        <v>612</v>
      </c>
      <c r="J1314" s="157">
        <v>601.91999999999996</v>
      </c>
      <c r="K1314" s="383"/>
    </row>
    <row r="1315" spans="1:11" x14ac:dyDescent="0.15">
      <c r="A1315" s="383"/>
      <c r="B1315">
        <v>1938000110</v>
      </c>
      <c r="D1315" s="278" t="s">
        <v>523</v>
      </c>
      <c r="F1315" s="157">
        <v>636369</v>
      </c>
      <c r="H1315" s="157">
        <v>788678</v>
      </c>
      <c r="J1315" s="157">
        <v>1403483.91</v>
      </c>
      <c r="K1315" s="383"/>
    </row>
    <row r="1316" spans="1:11" x14ac:dyDescent="0.15">
      <c r="A1316" s="383"/>
      <c r="B1316">
        <v>1938000422</v>
      </c>
      <c r="D1316" s="278" t="s">
        <v>893</v>
      </c>
      <c r="F1316" s="157">
        <v>15000</v>
      </c>
      <c r="H1316" s="157">
        <v>17000</v>
      </c>
      <c r="J1316" s="157">
        <v>10034.01</v>
      </c>
      <c r="K1316" s="383"/>
    </row>
    <row r="1317" spans="1:11" x14ac:dyDescent="0.15">
      <c r="A1317" s="383"/>
      <c r="B1317">
        <v>1938000430</v>
      </c>
      <c r="D1317" s="278" t="s">
        <v>839</v>
      </c>
      <c r="F1317" s="157">
        <v>651600</v>
      </c>
      <c r="H1317" s="157">
        <v>540000</v>
      </c>
      <c r="J1317" s="157">
        <v>548259.04</v>
      </c>
      <c r="K1317" s="383"/>
    </row>
    <row r="1318" spans="1:11" x14ac:dyDescent="0.15">
      <c r="A1318" s="383"/>
      <c r="B1318">
        <v>1938000450</v>
      </c>
      <c r="D1318" s="278" t="s">
        <v>894</v>
      </c>
      <c r="F1318" s="157">
        <v>18000</v>
      </c>
      <c r="H1318" s="157">
        <v>18000</v>
      </c>
      <c r="J1318" s="157">
        <v>7746.14</v>
      </c>
      <c r="K1318" s="383"/>
    </row>
    <row r="1319" spans="1:11" x14ac:dyDescent="0.15">
      <c r="A1319" s="383"/>
      <c r="B1319">
        <v>1938000511</v>
      </c>
      <c r="D1319" s="278" t="s">
        <v>895</v>
      </c>
      <c r="F1319" s="157">
        <v>74452.799999999988</v>
      </c>
      <c r="H1319" s="157">
        <v>105600</v>
      </c>
      <c r="J1319" s="157">
        <v>100457.55</v>
      </c>
      <c r="K1319" s="383"/>
    </row>
    <row r="1320" spans="1:11" x14ac:dyDescent="0.15">
      <c r="A1320" s="383"/>
      <c r="B1320">
        <v>1938000530</v>
      </c>
      <c r="D1320" s="278" t="s">
        <v>130</v>
      </c>
      <c r="F1320" s="157">
        <v>0</v>
      </c>
      <c r="H1320" s="157">
        <v>0</v>
      </c>
      <c r="J1320" s="157">
        <v>792.65</v>
      </c>
      <c r="K1320" s="383"/>
    </row>
    <row r="1321" spans="1:11" x14ac:dyDescent="0.15">
      <c r="A1321" s="383"/>
      <c r="B1321">
        <v>1938000540</v>
      </c>
      <c r="D1321" s="278" t="s">
        <v>875</v>
      </c>
      <c r="F1321" s="157">
        <v>501512</v>
      </c>
      <c r="H1321" s="157">
        <v>515000.12</v>
      </c>
      <c r="J1321" s="157">
        <v>517057.19</v>
      </c>
      <c r="K1321" s="383"/>
    </row>
    <row r="1322" spans="1:11" x14ac:dyDescent="0.15">
      <c r="A1322" s="383"/>
      <c r="B1322">
        <v>1938000560</v>
      </c>
      <c r="D1322" s="278" t="s">
        <v>664</v>
      </c>
      <c r="F1322" s="157">
        <v>0</v>
      </c>
      <c r="H1322" s="157">
        <v>1000</v>
      </c>
      <c r="J1322" s="157">
        <v>46.8</v>
      </c>
      <c r="K1322" s="383"/>
    </row>
    <row r="1323" spans="1:11" x14ac:dyDescent="0.15">
      <c r="A1323" s="383"/>
      <c r="B1323">
        <v>1938000570</v>
      </c>
      <c r="D1323" s="278" t="s">
        <v>896</v>
      </c>
      <c r="F1323" s="157">
        <v>0</v>
      </c>
      <c r="H1323" s="157">
        <v>0</v>
      </c>
      <c r="J1323" s="157">
        <v>83932.92</v>
      </c>
      <c r="K1323" s="383"/>
    </row>
    <row r="1324" spans="1:11" x14ac:dyDescent="0.15">
      <c r="A1324" s="383"/>
      <c r="B1324">
        <v>1938000571</v>
      </c>
      <c r="D1324" s="278" t="s">
        <v>897</v>
      </c>
      <c r="F1324" s="157">
        <v>5724</v>
      </c>
      <c r="H1324" s="157">
        <v>5000</v>
      </c>
      <c r="J1324" s="157">
        <v>264019.28000000003</v>
      </c>
      <c r="K1324" s="383"/>
    </row>
    <row r="1325" spans="1:11" x14ac:dyDescent="0.15">
      <c r="A1325" s="383"/>
      <c r="B1325">
        <v>1938000581</v>
      </c>
      <c r="D1325" s="278" t="s">
        <v>1924</v>
      </c>
      <c r="F1325" s="157">
        <v>0</v>
      </c>
      <c r="H1325" s="157">
        <v>0</v>
      </c>
      <c r="J1325" s="157">
        <v>0</v>
      </c>
      <c r="K1325" s="383"/>
    </row>
    <row r="1326" spans="1:11" x14ac:dyDescent="0.15">
      <c r="A1326" s="383"/>
      <c r="B1326">
        <v>1938000740</v>
      </c>
      <c r="D1326" s="278" t="s">
        <v>737</v>
      </c>
      <c r="F1326" s="157">
        <v>0</v>
      </c>
      <c r="H1326" s="157">
        <v>2500</v>
      </c>
      <c r="J1326" s="157">
        <v>0</v>
      </c>
      <c r="K1326" s="383"/>
    </row>
    <row r="1327" spans="1:11" x14ac:dyDescent="0.15">
      <c r="A1327" s="383"/>
      <c r="B1327">
        <v>1938000750</v>
      </c>
      <c r="D1327" s="278" t="s">
        <v>899</v>
      </c>
      <c r="F1327" s="157">
        <v>420000</v>
      </c>
      <c r="H1327" s="157">
        <v>384000</v>
      </c>
      <c r="J1327" s="157">
        <v>367849</v>
      </c>
      <c r="K1327" s="383"/>
    </row>
    <row r="1328" spans="1:11" x14ac:dyDescent="0.15">
      <c r="A1328" s="383"/>
      <c r="B1328">
        <v>1938000751</v>
      </c>
      <c r="D1328" s="278" t="s">
        <v>714</v>
      </c>
      <c r="F1328" s="157">
        <v>16000</v>
      </c>
      <c r="H1328" s="157">
        <v>16000</v>
      </c>
      <c r="J1328" s="157">
        <v>14471.73</v>
      </c>
      <c r="K1328" s="383"/>
    </row>
    <row r="1329" spans="1:11" x14ac:dyDescent="0.15">
      <c r="A1329" s="383"/>
      <c r="B1329">
        <v>1938000752</v>
      </c>
      <c r="D1329" s="278" t="s">
        <v>1629</v>
      </c>
      <c r="F1329" s="157">
        <v>0</v>
      </c>
      <c r="H1329" s="157">
        <v>0</v>
      </c>
      <c r="J1329" s="157">
        <v>197374</v>
      </c>
      <c r="K1329" s="383"/>
    </row>
    <row r="1330" spans="1:11" s="182" customFormat="1" x14ac:dyDescent="0.15">
      <c r="A1330" s="383"/>
      <c r="B1330">
        <v>1938000760</v>
      </c>
      <c r="D1330" s="278" t="s">
        <v>900</v>
      </c>
      <c r="E1330" s="183"/>
      <c r="F1330" s="157">
        <v>18732</v>
      </c>
      <c r="G1330" s="166"/>
      <c r="H1330" s="157">
        <v>18720</v>
      </c>
      <c r="I1330" s="166"/>
      <c r="J1330" s="157">
        <v>16889.91</v>
      </c>
      <c r="K1330" s="383"/>
    </row>
    <row r="1331" spans="1:11" x14ac:dyDescent="0.15">
      <c r="A1331" s="383"/>
      <c r="B1331">
        <v>1938000780</v>
      </c>
      <c r="D1331" s="278" t="s">
        <v>580</v>
      </c>
      <c r="F1331" s="157">
        <v>27000</v>
      </c>
      <c r="H1331" s="157">
        <v>27500</v>
      </c>
      <c r="J1331" s="157">
        <v>25805.73</v>
      </c>
      <c r="K1331" s="383"/>
    </row>
    <row r="1332" spans="1:11" s="182" customFormat="1" x14ac:dyDescent="0.15">
      <c r="A1332" s="383"/>
      <c r="B1332">
        <v>1938000930</v>
      </c>
      <c r="D1332" s="278" t="s">
        <v>2173</v>
      </c>
      <c r="E1332" s="183"/>
      <c r="F1332" s="157">
        <v>20000</v>
      </c>
      <c r="G1332" s="166"/>
      <c r="H1332" s="157">
        <v>26000</v>
      </c>
      <c r="I1332" s="166"/>
      <c r="J1332" s="157">
        <v>0</v>
      </c>
      <c r="K1332" s="383"/>
    </row>
    <row r="1333" spans="1:11" x14ac:dyDescent="0.15">
      <c r="A1333" s="383"/>
      <c r="B1333">
        <v>1938000980</v>
      </c>
      <c r="D1333" s="278" t="s">
        <v>580</v>
      </c>
      <c r="F1333" s="157">
        <v>45000</v>
      </c>
      <c r="H1333" s="157">
        <v>64000</v>
      </c>
      <c r="J1333" s="157">
        <v>65413.48</v>
      </c>
      <c r="K1333" s="383"/>
    </row>
    <row r="1334" spans="1:11" x14ac:dyDescent="0.15">
      <c r="A1334" s="383"/>
      <c r="B1334">
        <v>1938001731</v>
      </c>
      <c r="D1334" s="278" t="s">
        <v>1925</v>
      </c>
      <c r="F1334" s="157">
        <v>11900</v>
      </c>
      <c r="H1334" s="157">
        <v>11021</v>
      </c>
      <c r="J1334" s="157">
        <v>12998.99</v>
      </c>
      <c r="K1334" s="383"/>
    </row>
    <row r="1335" spans="1:11" s="182" customFormat="1" x14ac:dyDescent="0.15">
      <c r="A1335" s="383"/>
      <c r="B1335">
        <v>1938100110</v>
      </c>
      <c r="D1335" s="278" t="s">
        <v>523</v>
      </c>
      <c r="E1335" s="183"/>
      <c r="F1335" s="157">
        <v>633574</v>
      </c>
      <c r="G1335" s="166"/>
      <c r="H1335" s="157">
        <v>420470</v>
      </c>
      <c r="I1335" s="166"/>
      <c r="J1335" s="157">
        <v>407956.27</v>
      </c>
      <c r="K1335" s="383"/>
    </row>
    <row r="1336" spans="1:11" x14ac:dyDescent="0.15">
      <c r="A1336" s="383"/>
      <c r="B1336">
        <v>1938100780</v>
      </c>
      <c r="D1336" s="278" t="s">
        <v>580</v>
      </c>
      <c r="F1336" s="157">
        <v>1740</v>
      </c>
      <c r="H1336" s="157">
        <v>1440</v>
      </c>
      <c r="J1336" s="157">
        <v>1312.25</v>
      </c>
      <c r="K1336" s="383"/>
    </row>
    <row r="1337" spans="1:11" s="182" customFormat="1" x14ac:dyDescent="0.15">
      <c r="A1337" s="383"/>
      <c r="B1337">
        <v>1938200110</v>
      </c>
      <c r="D1337" s="278" t="s">
        <v>2039</v>
      </c>
      <c r="E1337" s="183"/>
      <c r="F1337" s="157">
        <v>997815</v>
      </c>
      <c r="G1337" s="166"/>
      <c r="H1337" s="157">
        <v>991619</v>
      </c>
      <c r="I1337" s="166"/>
      <c r="J1337" s="157">
        <v>0</v>
      </c>
      <c r="K1337" s="383"/>
    </row>
    <row r="1338" spans="1:11" s="182" customFormat="1" x14ac:dyDescent="0.15">
      <c r="A1338" s="383"/>
      <c r="B1338">
        <v>1938200511</v>
      </c>
      <c r="D1338" s="278" t="s">
        <v>2040</v>
      </c>
      <c r="E1338" s="183"/>
      <c r="F1338" s="157">
        <v>2226.4</v>
      </c>
      <c r="G1338" s="166"/>
      <c r="H1338" s="157">
        <v>2500</v>
      </c>
      <c r="I1338" s="166"/>
      <c r="J1338" s="157">
        <v>0</v>
      </c>
      <c r="K1338" s="383"/>
    </row>
    <row r="1339" spans="1:11" s="182" customFormat="1" x14ac:dyDescent="0.15">
      <c r="A1339" s="383"/>
      <c r="B1339">
        <v>1938200521</v>
      </c>
      <c r="D1339" s="312" t="s">
        <v>2046</v>
      </c>
      <c r="E1339" s="183"/>
      <c r="F1339" s="157">
        <v>12500</v>
      </c>
      <c r="G1339" s="166"/>
      <c r="H1339" s="157">
        <v>67200</v>
      </c>
      <c r="I1339" s="166"/>
      <c r="J1339" s="157">
        <v>0</v>
      </c>
      <c r="K1339" s="383"/>
    </row>
    <row r="1340" spans="1:11" s="182" customFormat="1" x14ac:dyDescent="0.15">
      <c r="A1340" s="383"/>
      <c r="B1340">
        <v>1938200560</v>
      </c>
      <c r="D1340" s="278" t="s">
        <v>2041</v>
      </c>
      <c r="E1340" s="183"/>
      <c r="F1340" s="157">
        <v>750</v>
      </c>
      <c r="G1340" s="166"/>
      <c r="H1340" s="157">
        <v>1000</v>
      </c>
      <c r="I1340" s="166"/>
      <c r="J1340" s="157">
        <v>0</v>
      </c>
      <c r="K1340" s="383"/>
    </row>
    <row r="1341" spans="1:11" s="182" customFormat="1" x14ac:dyDescent="0.15">
      <c r="A1341" s="383"/>
      <c r="B1341">
        <v>1938200570</v>
      </c>
      <c r="D1341" s="278" t="s">
        <v>2042</v>
      </c>
      <c r="E1341" s="183"/>
      <c r="F1341" s="157">
        <v>135200</v>
      </c>
      <c r="G1341" s="166"/>
      <c r="H1341" s="157">
        <v>205591.19</v>
      </c>
      <c r="I1341" s="166"/>
      <c r="J1341" s="157">
        <v>0</v>
      </c>
      <c r="K1341" s="383"/>
    </row>
    <row r="1342" spans="1:11" s="182" customFormat="1" x14ac:dyDescent="0.15">
      <c r="A1342" s="383"/>
      <c r="B1342">
        <v>1938200581</v>
      </c>
      <c r="D1342" s="278" t="s">
        <v>2043</v>
      </c>
      <c r="E1342" s="183"/>
      <c r="F1342" s="157">
        <v>5280</v>
      </c>
      <c r="G1342" s="166"/>
      <c r="H1342" s="157">
        <v>10344</v>
      </c>
      <c r="I1342" s="166"/>
      <c r="J1342" s="157">
        <v>0</v>
      </c>
      <c r="K1342" s="383"/>
    </row>
    <row r="1343" spans="1:11" s="182" customFormat="1" x14ac:dyDescent="0.15">
      <c r="A1343" s="383"/>
      <c r="B1343">
        <v>1938200780</v>
      </c>
      <c r="D1343" s="278" t="s">
        <v>2044</v>
      </c>
      <c r="E1343" s="183"/>
      <c r="F1343" s="157">
        <v>57283</v>
      </c>
      <c r="G1343" s="166"/>
      <c r="H1343" s="157">
        <v>300</v>
      </c>
      <c r="I1343" s="166"/>
      <c r="J1343" s="157">
        <v>0</v>
      </c>
      <c r="K1343" s="383"/>
    </row>
    <row r="1344" spans="1:11" s="182" customFormat="1" x14ac:dyDescent="0.15">
      <c r="A1344" s="383"/>
      <c r="B1344">
        <v>1938200930</v>
      </c>
      <c r="D1344" s="278" t="s">
        <v>2045</v>
      </c>
      <c r="E1344" s="183"/>
      <c r="F1344" s="157">
        <v>8500</v>
      </c>
      <c r="G1344" s="166"/>
      <c r="H1344" s="157">
        <v>26700</v>
      </c>
      <c r="I1344" s="166"/>
      <c r="J1344" s="157">
        <v>0</v>
      </c>
      <c r="K1344" s="383"/>
    </row>
    <row r="1345" spans="1:11" s="182" customFormat="1" x14ac:dyDescent="0.15">
      <c r="A1345" s="383"/>
      <c r="B1345">
        <v>1939000110</v>
      </c>
      <c r="D1345" s="278" t="s">
        <v>523</v>
      </c>
      <c r="E1345" s="183"/>
      <c r="F1345" s="157">
        <v>1355943</v>
      </c>
      <c r="G1345" s="166"/>
      <c r="H1345" s="157">
        <v>1401737</v>
      </c>
      <c r="I1345" s="166"/>
      <c r="J1345" s="157">
        <v>1508150.22</v>
      </c>
      <c r="K1345" s="383"/>
    </row>
    <row r="1346" spans="1:11" x14ac:dyDescent="0.15">
      <c r="A1346" s="383"/>
      <c r="B1346">
        <v>1939000410</v>
      </c>
      <c r="D1346" s="278" t="s">
        <v>902</v>
      </c>
      <c r="F1346" s="157">
        <v>435600</v>
      </c>
      <c r="H1346" s="157">
        <v>435600</v>
      </c>
      <c r="J1346" s="157">
        <v>371384.44</v>
      </c>
      <c r="K1346" s="383"/>
    </row>
    <row r="1347" spans="1:11" s="182" customFormat="1" x14ac:dyDescent="0.15">
      <c r="A1347" s="383"/>
      <c r="B1347">
        <v>1939000430</v>
      </c>
      <c r="D1347" s="278" t="s">
        <v>2176</v>
      </c>
      <c r="E1347" s="183"/>
      <c r="F1347" s="157">
        <v>3600</v>
      </c>
      <c r="G1347" s="166"/>
      <c r="H1347" s="157">
        <v>3756</v>
      </c>
      <c r="I1347" s="166"/>
      <c r="J1347" s="157">
        <v>0</v>
      </c>
      <c r="K1347" s="383"/>
    </row>
    <row r="1348" spans="1:11" s="182" customFormat="1" x14ac:dyDescent="0.15">
      <c r="A1348" s="383"/>
      <c r="B1348">
        <v>1939000511</v>
      </c>
      <c r="D1348" s="278" t="s">
        <v>220</v>
      </c>
      <c r="E1348" s="183"/>
      <c r="F1348" s="157">
        <v>1000</v>
      </c>
      <c r="G1348" s="166"/>
      <c r="H1348" s="157">
        <v>1000</v>
      </c>
      <c r="I1348" s="166"/>
      <c r="J1348" s="157">
        <v>398.52</v>
      </c>
      <c r="K1348" s="383"/>
    </row>
    <row r="1349" spans="1:11" s="182" customFormat="1" x14ac:dyDescent="0.15">
      <c r="A1349" s="383"/>
      <c r="B1349">
        <v>1939000560</v>
      </c>
      <c r="D1349" s="278" t="s">
        <v>820</v>
      </c>
      <c r="E1349" s="183"/>
      <c r="F1349" s="157">
        <v>500</v>
      </c>
      <c r="G1349" s="166"/>
      <c r="H1349" s="157">
        <v>500</v>
      </c>
      <c r="I1349" s="166"/>
      <c r="J1349" s="157">
        <v>341.41</v>
      </c>
      <c r="K1349" s="383"/>
    </row>
    <row r="1350" spans="1:11" x14ac:dyDescent="0.15">
      <c r="A1350" s="383"/>
      <c r="B1350">
        <v>1939000570</v>
      </c>
      <c r="D1350" s="278" t="s">
        <v>1666</v>
      </c>
      <c r="F1350" s="157">
        <v>2400</v>
      </c>
      <c r="H1350" s="157">
        <v>2400</v>
      </c>
      <c r="J1350" s="157">
        <v>2500.77</v>
      </c>
      <c r="K1350" s="383"/>
    </row>
    <row r="1351" spans="1:11" s="182" customFormat="1" x14ac:dyDescent="0.15">
      <c r="A1351" s="383"/>
      <c r="B1351">
        <v>1939000581</v>
      </c>
      <c r="D1351" s="278" t="s">
        <v>1926</v>
      </c>
      <c r="E1351" s="183"/>
      <c r="F1351" s="157">
        <v>792</v>
      </c>
      <c r="G1351" s="166"/>
      <c r="H1351" s="157">
        <v>840</v>
      </c>
      <c r="I1351" s="166"/>
      <c r="J1351" s="157">
        <v>720.82</v>
      </c>
      <c r="K1351" s="383"/>
    </row>
    <row r="1352" spans="1:11" x14ac:dyDescent="0.15">
      <c r="A1352" s="383"/>
      <c r="B1352">
        <v>1939000730</v>
      </c>
      <c r="D1352" s="278" t="s">
        <v>903</v>
      </c>
      <c r="F1352" s="157">
        <v>40000</v>
      </c>
      <c r="H1352" s="157">
        <v>50000</v>
      </c>
      <c r="J1352" s="157">
        <v>55925.02</v>
      </c>
      <c r="K1352" s="383"/>
    </row>
    <row r="1353" spans="1:11" s="182" customFormat="1" x14ac:dyDescent="0.15">
      <c r="A1353" s="383"/>
      <c r="B1353">
        <v>1939000731</v>
      </c>
      <c r="D1353" s="278" t="s">
        <v>221</v>
      </c>
      <c r="E1353" s="183"/>
      <c r="F1353" s="157">
        <v>40000</v>
      </c>
      <c r="G1353" s="166"/>
      <c r="H1353" s="157">
        <v>50000</v>
      </c>
      <c r="I1353" s="166"/>
      <c r="J1353" s="157">
        <v>52037.41</v>
      </c>
      <c r="K1353" s="383"/>
    </row>
    <row r="1354" spans="1:11" s="182" customFormat="1" x14ac:dyDescent="0.15">
      <c r="A1354" s="383"/>
      <c r="B1354">
        <v>1939000750</v>
      </c>
      <c r="D1354" s="278" t="s">
        <v>1551</v>
      </c>
      <c r="E1354" s="183"/>
      <c r="F1354" s="157">
        <v>0</v>
      </c>
      <c r="G1354" s="166"/>
      <c r="H1354" s="157">
        <v>306000</v>
      </c>
      <c r="I1354" s="166"/>
      <c r="J1354" s="157">
        <v>304527.3</v>
      </c>
      <c r="K1354" s="383"/>
    </row>
    <row r="1355" spans="1:11" s="182" customFormat="1" x14ac:dyDescent="0.15">
      <c r="A1355" s="383"/>
      <c r="B1355">
        <v>1939000751</v>
      </c>
      <c r="D1355" s="278" t="s">
        <v>714</v>
      </c>
      <c r="E1355" s="183"/>
      <c r="F1355" s="157">
        <v>0</v>
      </c>
      <c r="G1355" s="166"/>
      <c r="H1355" s="157">
        <v>0</v>
      </c>
      <c r="I1355" s="166"/>
      <c r="J1355" s="157">
        <v>0</v>
      </c>
      <c r="K1355" s="383"/>
    </row>
    <row r="1356" spans="1:11" x14ac:dyDescent="0.15">
      <c r="A1356" s="383"/>
      <c r="B1356">
        <v>1939000780</v>
      </c>
      <c r="D1356" s="278" t="s">
        <v>580</v>
      </c>
      <c r="F1356" s="157">
        <v>300</v>
      </c>
      <c r="H1356" s="157">
        <v>300</v>
      </c>
      <c r="J1356" s="157">
        <v>2300.2199999999998</v>
      </c>
      <c r="K1356" s="383"/>
    </row>
    <row r="1357" spans="1:11" s="182" customFormat="1" x14ac:dyDescent="0.15">
      <c r="A1357" s="383"/>
      <c r="B1357">
        <v>1939000910</v>
      </c>
      <c r="D1357" s="278" t="s">
        <v>1630</v>
      </c>
      <c r="E1357" s="183"/>
      <c r="F1357" s="157">
        <v>0</v>
      </c>
      <c r="G1357" s="166"/>
      <c r="H1357" s="157">
        <v>0</v>
      </c>
      <c r="I1357" s="166"/>
      <c r="J1357" s="157">
        <v>74500</v>
      </c>
      <c r="K1357" s="383"/>
    </row>
    <row r="1358" spans="1:11" x14ac:dyDescent="0.15">
      <c r="A1358" s="383"/>
      <c r="B1358">
        <v>1939000980</v>
      </c>
      <c r="D1358" s="278" t="s">
        <v>580</v>
      </c>
      <c r="F1358" s="157">
        <v>27000</v>
      </c>
      <c r="H1358" s="157">
        <v>26652</v>
      </c>
      <c r="J1358" s="157">
        <v>38496.879999999997</v>
      </c>
      <c r="K1358" s="383"/>
    </row>
    <row r="1359" spans="1:11" x14ac:dyDescent="0.15">
      <c r="A1359" s="383"/>
      <c r="B1359">
        <v>1939002530</v>
      </c>
      <c r="D1359" s="278" t="s">
        <v>1631</v>
      </c>
      <c r="F1359" s="157">
        <v>0</v>
      </c>
      <c r="H1359" s="157">
        <v>1990</v>
      </c>
      <c r="J1359" s="157">
        <v>466.35</v>
      </c>
      <c r="K1359" s="383"/>
    </row>
    <row r="1360" spans="1:11" x14ac:dyDescent="0.15">
      <c r="A1360" s="383"/>
      <c r="B1360">
        <v>1939003530</v>
      </c>
      <c r="D1360" s="278" t="s">
        <v>1632</v>
      </c>
      <c r="F1360" s="157">
        <v>0</v>
      </c>
      <c r="H1360" s="157">
        <v>0</v>
      </c>
      <c r="J1360" s="157">
        <v>0</v>
      </c>
      <c r="K1360" s="383"/>
    </row>
    <row r="1361" spans="1:11" x14ac:dyDescent="0.15">
      <c r="A1361" s="383"/>
      <c r="B1361">
        <v>1939003731</v>
      </c>
      <c r="D1361" s="278" t="s">
        <v>905</v>
      </c>
      <c r="F1361" s="157">
        <v>25000</v>
      </c>
      <c r="H1361" s="157">
        <v>22471</v>
      </c>
      <c r="J1361" s="157">
        <v>3625.91</v>
      </c>
      <c r="K1361" s="383"/>
    </row>
    <row r="1362" spans="1:11" x14ac:dyDescent="0.15">
      <c r="A1362" s="383"/>
      <c r="B1362">
        <v>1939004731</v>
      </c>
      <c r="D1362" s="278" t="s">
        <v>906</v>
      </c>
      <c r="F1362" s="157">
        <v>43000</v>
      </c>
      <c r="H1362" s="157">
        <v>41234</v>
      </c>
      <c r="J1362" s="157">
        <v>69525.7</v>
      </c>
      <c r="K1362" s="383"/>
    </row>
    <row r="1363" spans="1:11" s="182" customFormat="1" x14ac:dyDescent="0.15">
      <c r="A1363" s="383"/>
      <c r="B1363">
        <v>1939006731</v>
      </c>
      <c r="D1363" s="278" t="s">
        <v>907</v>
      </c>
      <c r="E1363" s="183"/>
      <c r="F1363" s="157">
        <v>1974</v>
      </c>
      <c r="G1363" s="166"/>
      <c r="H1363" s="157">
        <v>1974</v>
      </c>
      <c r="I1363" s="166"/>
      <c r="J1363" s="157">
        <v>1187</v>
      </c>
      <c r="K1363" s="383"/>
    </row>
    <row r="1364" spans="1:11" s="182" customFormat="1" x14ac:dyDescent="0.15">
      <c r="A1364" s="383"/>
      <c r="B1364">
        <v>1939011731</v>
      </c>
      <c r="D1364" s="278" t="s">
        <v>908</v>
      </c>
      <c r="E1364" s="183"/>
      <c r="F1364" s="157">
        <v>1974</v>
      </c>
      <c r="G1364" s="166"/>
      <c r="H1364" s="157">
        <v>1974</v>
      </c>
      <c r="I1364" s="166"/>
      <c r="J1364" s="157">
        <v>2165.5500000000002</v>
      </c>
      <c r="K1364" s="383"/>
    </row>
    <row r="1365" spans="1:11" s="182" customFormat="1" x14ac:dyDescent="0.15">
      <c r="A1365" s="383"/>
      <c r="B1365">
        <v>1939012731</v>
      </c>
      <c r="D1365" s="278" t="s">
        <v>1927</v>
      </c>
      <c r="E1365" s="183"/>
      <c r="F1365" s="157">
        <v>1974</v>
      </c>
      <c r="G1365" s="166"/>
      <c r="H1365" s="157">
        <v>1974</v>
      </c>
      <c r="I1365" s="166"/>
      <c r="J1365" s="157">
        <v>2502.1999999999998</v>
      </c>
      <c r="K1365" s="383"/>
    </row>
    <row r="1366" spans="1:11" s="182" customFormat="1" x14ac:dyDescent="0.15">
      <c r="A1366" s="383"/>
      <c r="B1366">
        <v>1939013731</v>
      </c>
      <c r="D1366" s="278" t="s">
        <v>910</v>
      </c>
      <c r="E1366" s="183"/>
      <c r="F1366" s="157">
        <v>19000</v>
      </c>
      <c r="G1366" s="166"/>
      <c r="H1366" s="157">
        <v>16188</v>
      </c>
      <c r="I1366" s="166"/>
      <c r="J1366" s="157">
        <v>28772.35</v>
      </c>
      <c r="K1366" s="383"/>
    </row>
    <row r="1367" spans="1:11" s="182" customFormat="1" x14ac:dyDescent="0.15">
      <c r="A1367" s="383"/>
      <c r="B1367">
        <v>1939014530</v>
      </c>
      <c r="D1367" s="278" t="s">
        <v>1471</v>
      </c>
      <c r="E1367" s="183"/>
      <c r="F1367" s="157">
        <v>0</v>
      </c>
      <c r="G1367" s="166"/>
      <c r="H1367" s="157">
        <v>0</v>
      </c>
      <c r="I1367" s="166"/>
      <c r="J1367" s="157">
        <v>53431.69</v>
      </c>
      <c r="K1367" s="383"/>
    </row>
    <row r="1368" spans="1:11" s="182" customFormat="1" x14ac:dyDescent="0.15">
      <c r="A1368" s="383"/>
      <c r="B1368">
        <v>1939015731</v>
      </c>
      <c r="D1368" s="278" t="s">
        <v>1470</v>
      </c>
      <c r="E1368" s="183"/>
      <c r="F1368" s="157">
        <v>0</v>
      </c>
      <c r="G1368" s="166"/>
      <c r="H1368" s="157">
        <v>0</v>
      </c>
      <c r="I1368" s="166"/>
      <c r="J1368" s="157">
        <v>0</v>
      </c>
      <c r="K1368" s="383"/>
    </row>
    <row r="1369" spans="1:11" x14ac:dyDescent="0.15">
      <c r="A1369" s="383"/>
      <c r="B1369">
        <v>1939016731</v>
      </c>
      <c r="D1369" s="278" t="s">
        <v>1928</v>
      </c>
      <c r="F1369" s="157">
        <v>37163</v>
      </c>
      <c r="H1369" s="157">
        <v>33017</v>
      </c>
      <c r="J1369" s="157">
        <v>24943.5</v>
      </c>
      <c r="K1369" s="383"/>
    </row>
    <row r="1370" spans="1:11" s="182" customFormat="1" x14ac:dyDescent="0.15">
      <c r="A1370" s="383"/>
      <c r="B1370">
        <v>1939019731</v>
      </c>
      <c r="D1370" s="278" t="s">
        <v>810</v>
      </c>
      <c r="E1370" s="183"/>
      <c r="F1370" s="157">
        <v>50000</v>
      </c>
      <c r="G1370" s="166"/>
      <c r="H1370" s="157">
        <v>45011</v>
      </c>
      <c r="I1370" s="166"/>
      <c r="J1370" s="157">
        <v>46696.44</v>
      </c>
      <c r="K1370" s="383"/>
    </row>
    <row r="1371" spans="1:11" x14ac:dyDescent="0.15">
      <c r="A1371" s="383"/>
      <c r="B1371">
        <v>1939033731</v>
      </c>
      <c r="C1371" s="156"/>
      <c r="D1371" s="278" t="s">
        <v>1469</v>
      </c>
      <c r="F1371" s="157">
        <v>5000</v>
      </c>
      <c r="H1371" s="157">
        <v>4074</v>
      </c>
      <c r="J1371" s="157">
        <v>1645.5</v>
      </c>
      <c r="K1371" s="383"/>
    </row>
    <row r="1372" spans="1:11" s="182" customFormat="1" x14ac:dyDescent="0.15">
      <c r="A1372" s="383"/>
      <c r="B1372">
        <v>1939043731</v>
      </c>
      <c r="C1372" s="183"/>
      <c r="D1372" s="278" t="s">
        <v>1468</v>
      </c>
      <c r="E1372" s="183"/>
      <c r="F1372" s="157">
        <v>44000</v>
      </c>
      <c r="G1372" s="166"/>
      <c r="H1372" s="157">
        <v>30000</v>
      </c>
      <c r="I1372" s="166"/>
      <c r="J1372" s="157">
        <v>553</v>
      </c>
      <c r="K1372" s="383"/>
    </row>
    <row r="1373" spans="1:11" x14ac:dyDescent="0.15">
      <c r="A1373" s="383"/>
      <c r="B1373">
        <v>1939100730</v>
      </c>
      <c r="C1373" s="156"/>
      <c r="D1373" s="278" t="s">
        <v>1466</v>
      </c>
      <c r="F1373" s="157">
        <v>30000</v>
      </c>
      <c r="H1373" s="157">
        <v>0</v>
      </c>
      <c r="J1373" s="157">
        <v>19821</v>
      </c>
      <c r="K1373" s="383"/>
    </row>
    <row r="1374" spans="1:11" x14ac:dyDescent="0.15">
      <c r="A1374" s="383"/>
      <c r="B1374">
        <v>1939200731</v>
      </c>
      <c r="D1374" s="278" t="s">
        <v>1331</v>
      </c>
      <c r="F1374" s="157">
        <v>1874</v>
      </c>
      <c r="H1374" s="157">
        <v>1974</v>
      </c>
      <c r="J1374" s="157">
        <v>1054</v>
      </c>
      <c r="K1374" s="383"/>
    </row>
    <row r="1375" spans="1:11" s="182" customFormat="1" x14ac:dyDescent="0.15">
      <c r="A1375" s="383"/>
      <c r="B1375">
        <v>1939300731</v>
      </c>
      <c r="D1375" s="278" t="s">
        <v>1648</v>
      </c>
      <c r="E1375" s="183"/>
      <c r="F1375" s="157">
        <v>97800</v>
      </c>
      <c r="G1375" s="166"/>
      <c r="H1375" s="157">
        <v>99055</v>
      </c>
      <c r="I1375" s="166"/>
      <c r="J1375" s="157">
        <v>132941.24</v>
      </c>
      <c r="K1375" s="383"/>
    </row>
    <row r="1376" spans="1:11" s="182" customFormat="1" ht="14" thickBot="1" x14ac:dyDescent="0.2">
      <c r="A1376" s="383"/>
      <c r="B1376" s="163"/>
      <c r="D1376" s="282"/>
      <c r="E1376" s="183"/>
      <c r="F1376" s="157"/>
      <c r="G1376" s="166"/>
      <c r="H1376" s="157"/>
      <c r="I1376" s="166"/>
      <c r="J1376" s="157"/>
      <c r="K1376" s="383"/>
    </row>
    <row r="1377" spans="1:11" x14ac:dyDescent="0.15">
      <c r="A1377" s="383"/>
      <c r="D1377" s="283" t="s">
        <v>1260</v>
      </c>
      <c r="F1377" s="168">
        <v>7669259.5999999996</v>
      </c>
      <c r="G1377" s="169">
        <v>0</v>
      </c>
      <c r="H1377" s="168">
        <v>8049909.3100000005</v>
      </c>
      <c r="I1377" s="169">
        <v>0</v>
      </c>
      <c r="J1377" s="168">
        <v>7722883.2100000009</v>
      </c>
      <c r="K1377" s="383"/>
    </row>
    <row r="1378" spans="1:11" x14ac:dyDescent="0.15">
      <c r="A1378" s="383"/>
      <c r="B1378">
        <v>1972000750</v>
      </c>
      <c r="D1378" s="278" t="s">
        <v>912</v>
      </c>
      <c r="F1378" s="157">
        <v>100000</v>
      </c>
      <c r="H1378" s="157">
        <v>110000</v>
      </c>
      <c r="J1378" s="157">
        <v>106704.66</v>
      </c>
      <c r="K1378" s="383"/>
    </row>
    <row r="1379" spans="1:11" ht="14" thickBot="1" x14ac:dyDescent="0.2">
      <c r="A1379" s="383"/>
      <c r="B1379">
        <v>1972000770</v>
      </c>
      <c r="D1379" s="278" t="s">
        <v>740</v>
      </c>
      <c r="F1379" s="157">
        <v>4140</v>
      </c>
      <c r="H1379" s="157">
        <v>4620</v>
      </c>
      <c r="J1379" s="157">
        <v>3433.29</v>
      </c>
      <c r="K1379" s="383"/>
    </row>
    <row r="1380" spans="1:11" x14ac:dyDescent="0.15">
      <c r="A1380" s="383"/>
      <c r="D1380" s="283" t="s">
        <v>1264</v>
      </c>
      <c r="F1380" s="168">
        <v>104140</v>
      </c>
      <c r="G1380" s="169">
        <v>0</v>
      </c>
      <c r="H1380" s="168">
        <v>114620</v>
      </c>
      <c r="I1380" s="169">
        <v>0</v>
      </c>
      <c r="J1380" s="168">
        <v>110137.95</v>
      </c>
      <c r="K1380" s="383"/>
    </row>
    <row r="1381" spans="1:11" x14ac:dyDescent="0.15">
      <c r="A1381" s="383"/>
      <c r="B1381" s="155">
        <v>1980000310</v>
      </c>
      <c r="D1381" s="181" t="s">
        <v>539</v>
      </c>
      <c r="F1381" s="157">
        <v>40000</v>
      </c>
      <c r="H1381" s="157">
        <v>30000</v>
      </c>
      <c r="J1381" s="157">
        <v>27591.91</v>
      </c>
      <c r="K1381" s="383"/>
    </row>
    <row r="1382" spans="1:11" x14ac:dyDescent="0.15">
      <c r="A1382" s="383"/>
      <c r="B1382" s="155">
        <v>1980000312</v>
      </c>
      <c r="D1382" s="181" t="s">
        <v>540</v>
      </c>
      <c r="F1382" s="157">
        <v>230574</v>
      </c>
      <c r="H1382" s="157">
        <v>250000</v>
      </c>
      <c r="J1382" s="157">
        <v>224148.43</v>
      </c>
      <c r="K1382" s="383"/>
    </row>
    <row r="1383" spans="1:11" ht="14" thickBot="1" x14ac:dyDescent="0.2">
      <c r="A1383" s="383"/>
      <c r="D1383" s="282"/>
      <c r="K1383" s="383"/>
    </row>
    <row r="1384" spans="1:11" x14ac:dyDescent="0.15">
      <c r="A1384" s="383"/>
      <c r="D1384" s="283" t="s">
        <v>1265</v>
      </c>
      <c r="F1384" s="168">
        <v>270574</v>
      </c>
      <c r="G1384" s="169">
        <v>0</v>
      </c>
      <c r="H1384" s="168">
        <v>280000</v>
      </c>
      <c r="I1384" s="169">
        <v>0</v>
      </c>
      <c r="J1384" s="168">
        <v>251740.34</v>
      </c>
      <c r="K1384" s="383"/>
    </row>
    <row r="1385" spans="1:11" s="182" customFormat="1" x14ac:dyDescent="0.15">
      <c r="A1385" s="383"/>
      <c r="B1385">
        <v>1991000110</v>
      </c>
      <c r="D1385" s="278" t="s">
        <v>1267</v>
      </c>
      <c r="E1385" s="183"/>
      <c r="F1385" s="157">
        <v>0</v>
      </c>
      <c r="G1385" s="166"/>
      <c r="H1385" s="157">
        <v>83000</v>
      </c>
      <c r="I1385" s="166"/>
      <c r="J1385" s="157">
        <v>0</v>
      </c>
      <c r="K1385" s="383"/>
    </row>
    <row r="1386" spans="1:11" x14ac:dyDescent="0.15">
      <c r="A1386" s="383"/>
      <c r="B1386">
        <v>1991000310</v>
      </c>
      <c r="D1386" s="278" t="s">
        <v>539</v>
      </c>
      <c r="F1386" s="157">
        <v>32105890</v>
      </c>
      <c r="H1386" s="157">
        <v>32286195</v>
      </c>
      <c r="J1386" s="157">
        <v>31769533.530000001</v>
      </c>
      <c r="K1386" s="383"/>
    </row>
    <row r="1387" spans="1:11" x14ac:dyDescent="0.15">
      <c r="A1387" s="383"/>
      <c r="B1387">
        <v>1991000320</v>
      </c>
      <c r="D1387" s="278" t="s">
        <v>541</v>
      </c>
      <c r="F1387" s="157">
        <v>2500000</v>
      </c>
      <c r="H1387" s="157">
        <v>765600</v>
      </c>
      <c r="J1387" s="157">
        <v>1569184.08</v>
      </c>
      <c r="K1387" s="383"/>
    </row>
    <row r="1388" spans="1:11" x14ac:dyDescent="0.15">
      <c r="A1388" s="383"/>
      <c r="B1388">
        <v>1991000523</v>
      </c>
      <c r="D1388" s="278" t="s">
        <v>1075</v>
      </c>
      <c r="F1388" s="157">
        <v>495000</v>
      </c>
      <c r="H1388" s="157">
        <v>463000</v>
      </c>
      <c r="J1388" s="157">
        <v>603066.4</v>
      </c>
      <c r="K1388" s="383"/>
    </row>
    <row r="1389" spans="1:11" x14ac:dyDescent="0.15">
      <c r="A1389" s="383"/>
      <c r="B1389">
        <v>1993000980</v>
      </c>
      <c r="D1389" s="278" t="s">
        <v>1076</v>
      </c>
      <c r="F1389" s="157">
        <v>1107329</v>
      </c>
      <c r="H1389" s="157">
        <v>850000</v>
      </c>
      <c r="J1389" s="157">
        <v>891674.43</v>
      </c>
      <c r="K1389" s="383"/>
    </row>
    <row r="1390" spans="1:11" x14ac:dyDescent="0.15">
      <c r="A1390" s="383"/>
      <c r="B1390">
        <v>1995000860</v>
      </c>
      <c r="D1390" s="278" t="s">
        <v>1078</v>
      </c>
      <c r="F1390" s="157">
        <v>29000000</v>
      </c>
      <c r="H1390" s="157">
        <v>27150000</v>
      </c>
      <c r="J1390" s="157">
        <v>26504299.48</v>
      </c>
      <c r="K1390" s="383"/>
    </row>
    <row r="1391" spans="1:11" ht="14" thickBot="1" x14ac:dyDescent="0.2">
      <c r="A1391" s="383"/>
      <c r="D1391" s="282"/>
      <c r="K1391" s="383"/>
    </row>
    <row r="1392" spans="1:11" ht="14" thickBot="1" x14ac:dyDescent="0.2">
      <c r="A1392" s="383"/>
      <c r="D1392" s="280" t="s">
        <v>1269</v>
      </c>
      <c r="F1392" s="179">
        <v>65208219</v>
      </c>
      <c r="G1392" s="169">
        <v>0</v>
      </c>
      <c r="H1392" s="179">
        <v>61597795</v>
      </c>
      <c r="I1392" s="169">
        <v>0</v>
      </c>
      <c r="J1392" s="179">
        <v>61337757.920000002</v>
      </c>
      <c r="K1392" s="383"/>
    </row>
    <row r="1393" spans="1:11" ht="14" thickBot="1" x14ac:dyDescent="0.2">
      <c r="A1393" s="383"/>
      <c r="D1393" s="280" t="s">
        <v>1270</v>
      </c>
      <c r="F1393" s="162">
        <v>73252192.599999994</v>
      </c>
      <c r="G1393" s="169">
        <v>0</v>
      </c>
      <c r="H1393" s="162">
        <v>70042324.310000002</v>
      </c>
      <c r="I1393" s="169">
        <v>0</v>
      </c>
      <c r="J1393" s="162">
        <v>69820999.430000022</v>
      </c>
      <c r="K1393" s="383"/>
    </row>
    <row r="1394" spans="1:11" x14ac:dyDescent="0.15">
      <c r="A1394" s="383"/>
      <c r="D1394" s="287"/>
      <c r="F1394" s="169"/>
      <c r="G1394" s="169"/>
      <c r="H1394" s="169"/>
      <c r="I1394" s="169"/>
      <c r="J1394" s="169"/>
      <c r="K1394" s="383"/>
    </row>
    <row r="1395" spans="1:11" ht="15" thickBot="1" x14ac:dyDescent="0.2">
      <c r="A1395" s="383"/>
      <c r="D1395" s="288" t="s">
        <v>1271</v>
      </c>
      <c r="F1395" s="170">
        <v>438903060.54942602</v>
      </c>
      <c r="G1395" s="171">
        <v>0</v>
      </c>
      <c r="H1395" s="170">
        <v>428172194.56999999</v>
      </c>
      <c r="I1395" s="171">
        <v>0</v>
      </c>
      <c r="J1395" s="170">
        <v>405114356.38999999</v>
      </c>
      <c r="K1395" s="383"/>
    </row>
    <row r="1396" spans="1:11" ht="16" thickTop="1" thickBot="1" x14ac:dyDescent="0.2">
      <c r="A1396" s="383"/>
      <c r="D1396" s="288" t="s">
        <v>1272</v>
      </c>
      <c r="F1396" s="170">
        <v>0.45057398080825806</v>
      </c>
      <c r="G1396" s="171">
        <v>0</v>
      </c>
      <c r="H1396" s="170">
        <v>0</v>
      </c>
      <c r="I1396" s="171">
        <v>0</v>
      </c>
      <c r="J1396" s="170">
        <v>-12772.480000019073</v>
      </c>
      <c r="K1396" s="383"/>
    </row>
    <row r="1397" spans="1:11" ht="14" thickTop="1" x14ac:dyDescent="0.15">
      <c r="B1397" s="383" t="s">
        <v>2196</v>
      </c>
      <c r="C1397" s="383"/>
      <c r="D1397" s="383"/>
      <c r="E1397" s="383"/>
      <c r="F1397" s="383"/>
      <c r="G1397" s="383"/>
      <c r="H1397" s="383"/>
      <c r="I1397" s="383"/>
      <c r="J1397" s="383"/>
    </row>
    <row r="1398" spans="1:11" x14ac:dyDescent="0.15">
      <c r="A1398" s="382"/>
      <c r="B1398" s="382" t="s">
        <v>2197</v>
      </c>
    </row>
  </sheetData>
  <mergeCells count="5">
    <mergeCell ref="E3:G3"/>
    <mergeCell ref="B5:J5"/>
    <mergeCell ref="K6:K1396"/>
    <mergeCell ref="A6:A1396"/>
    <mergeCell ref="B1397:J1397"/>
  </mergeCells>
  <phoneticPr fontId="48" type="noConversion"/>
  <pageMargins left="0.57999999999999996" right="0.42" top="0.75" bottom="0.75" header="0.3" footer="0.3"/>
  <pageSetup paperSize="9" scale="71" firstPageNumber="14" fitToHeight="0" orientation="portrait" useFirstPageNumber="1" r:id="rId1"/>
  <headerFooter>
    <oddFooter>עמוד &amp;P</oddFooter>
    <firstHeader xml:space="preserve">&amp;C
</firstHeader>
    <firstFooter>&amp;C&amp;עמוד 12</firstFooter>
  </headerFooter>
  <rowBreaks count="20" manualBreakCount="20">
    <brk id="65" max="10" man="1"/>
    <brk id="138" max="16383" man="1"/>
    <brk id="260" max="10" man="1"/>
    <brk id="308" max="10" man="1"/>
    <brk id="351" max="16383" man="1"/>
    <brk id="422" max="16383" man="1"/>
    <brk id="483" max="10" man="1"/>
    <brk id="507" max="10" man="1"/>
    <brk id="560" max="16383" man="1"/>
    <brk id="620" max="10" man="1"/>
    <brk id="660" max="10" man="1"/>
    <brk id="719" max="16383" man="1"/>
    <brk id="780" max="10" man="1"/>
    <brk id="823" max="10" man="1"/>
    <brk id="870" max="10" man="1"/>
    <brk id="931" max="10" man="1"/>
    <brk id="1156" max="16383" man="1"/>
    <brk id="1217" max="10" man="1"/>
    <brk id="1303" max="10" man="1"/>
    <brk id="1364" max="10" man="1"/>
  </rowBreaks>
  <legacy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C2:E17"/>
  <sheetViews>
    <sheetView rightToLeft="1" workbookViewId="0">
      <selection activeCell="C1" sqref="C1:F65536"/>
    </sheetView>
  </sheetViews>
  <sheetFormatPr baseColWidth="10" defaultColWidth="9.1640625" defaultRowHeight="13" x14ac:dyDescent="0.15"/>
  <cols>
    <col min="1" max="2" width="9.1640625" style="58"/>
    <col min="3" max="3" width="25.83203125" style="58" bestFit="1" customWidth="1"/>
    <col min="4" max="4" width="9.1640625" style="58"/>
    <col min="5" max="5" width="15" style="58" bestFit="1" customWidth="1"/>
    <col min="6" max="16384" width="9.1640625" style="58"/>
  </cols>
  <sheetData>
    <row r="2" spans="3:5" x14ac:dyDescent="0.15">
      <c r="E2" s="150" t="s">
        <v>1361</v>
      </c>
    </row>
    <row r="3" spans="3:5" x14ac:dyDescent="0.15">
      <c r="C3" s="149" t="s">
        <v>1354</v>
      </c>
      <c r="E3" s="58">
        <f>107600000</f>
        <v>107600000</v>
      </c>
    </row>
    <row r="4" spans="3:5" x14ac:dyDescent="0.15">
      <c r="C4" s="149" t="s">
        <v>1355</v>
      </c>
      <c r="E4" s="58">
        <f>E3*0.35</f>
        <v>37660000</v>
      </c>
    </row>
    <row r="6" spans="3:5" x14ac:dyDescent="0.15">
      <c r="C6" s="149" t="s">
        <v>1356</v>
      </c>
      <c r="E6" s="58" t="e">
        <f>#REF!*1000</f>
        <v>#REF!</v>
      </c>
    </row>
    <row r="7" spans="3:5" x14ac:dyDescent="0.15">
      <c r="C7" s="149" t="s">
        <v>1357</v>
      </c>
      <c r="E7" s="151" t="e">
        <f>#REF!*1000</f>
        <v>#REF!</v>
      </c>
    </row>
    <row r="8" spans="3:5" x14ac:dyDescent="0.15">
      <c r="E8" s="58" t="e">
        <f>SUM(E6:E7)</f>
        <v>#REF!</v>
      </c>
    </row>
    <row r="10" spans="3:5" x14ac:dyDescent="0.15">
      <c r="C10" s="149" t="s">
        <v>1307</v>
      </c>
    </row>
    <row r="12" spans="3:5" x14ac:dyDescent="0.15">
      <c r="C12" s="58" t="s">
        <v>1360</v>
      </c>
      <c r="E12" s="58">
        <f>4941406-120000</f>
        <v>4821406</v>
      </c>
    </row>
    <row r="13" spans="3:5" x14ac:dyDescent="0.15">
      <c r="C13" s="58" t="s">
        <v>1358</v>
      </c>
      <c r="E13" s="151">
        <f>2204500+17417406-10000-1000000-223769-169937-100000-120000-2300000-13309-17000-50000</f>
        <v>15617891</v>
      </c>
    </row>
    <row r="14" spans="3:5" x14ac:dyDescent="0.15">
      <c r="C14" s="58" t="s">
        <v>1359</v>
      </c>
      <c r="E14" s="58">
        <f>E12-E13</f>
        <v>-10796485</v>
      </c>
    </row>
    <row r="16" spans="3:5" ht="14" thickBot="1" x14ac:dyDescent="0.2">
      <c r="C16" s="58" t="s">
        <v>1362</v>
      </c>
      <c r="E16" s="152" t="e">
        <f>E4+E8+E14</f>
        <v>#REF!</v>
      </c>
    </row>
    <row r="17" ht="14" thickTop="1" x14ac:dyDescent="0.15"/>
  </sheetData>
  <phoneticPr fontId="48" type="noConversion"/>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L1696"/>
  <sheetViews>
    <sheetView rightToLeft="1" workbookViewId="0">
      <pane ySplit="1" topLeftCell="A2" activePane="bottomLeft" state="frozen"/>
      <selection pane="bottomLeft" activeCell="A11" sqref="A11"/>
    </sheetView>
  </sheetViews>
  <sheetFormatPr baseColWidth="10" defaultColWidth="9.1640625" defaultRowHeight="15" x14ac:dyDescent="0.2"/>
  <cols>
    <col min="1" max="1" width="17" style="210" bestFit="1" customWidth="1"/>
    <col min="2" max="2" width="46.5" style="210" bestFit="1" customWidth="1"/>
    <col min="3" max="4" width="16.5" style="211" bestFit="1" customWidth="1"/>
    <col min="5" max="5" width="15.5" style="211" bestFit="1" customWidth="1"/>
    <col min="6" max="6" width="16.5" style="211" bestFit="1" customWidth="1"/>
    <col min="7" max="8" width="15.5" style="211" bestFit="1" customWidth="1"/>
    <col min="9" max="16384" width="9.1640625" style="210"/>
  </cols>
  <sheetData>
    <row r="1" spans="1:8" s="208" customFormat="1" x14ac:dyDescent="0.2">
      <c r="C1" s="209" t="s">
        <v>1584</v>
      </c>
      <c r="D1" s="209" t="s">
        <v>1464</v>
      </c>
      <c r="E1" s="209" t="s">
        <v>1585</v>
      </c>
      <c r="F1" s="209" t="s">
        <v>1543</v>
      </c>
      <c r="G1" s="209" t="s">
        <v>91</v>
      </c>
      <c r="H1" s="209" t="s">
        <v>261</v>
      </c>
    </row>
    <row r="2" spans="1:8" x14ac:dyDescent="0.2">
      <c r="A2" s="210">
        <v>1111100100</v>
      </c>
      <c r="B2" s="210" t="s">
        <v>273</v>
      </c>
      <c r="C2" s="219">
        <f>115800000-3824423+3824423+200000</f>
        <v>116000000</v>
      </c>
      <c r="D2" s="211">
        <v>108777825</v>
      </c>
      <c r="E2" s="211">
        <v>84699982.780000001</v>
      </c>
      <c r="F2" s="211">
        <v>104219722.09</v>
      </c>
      <c r="G2" s="211">
        <v>99948886.590000004</v>
      </c>
      <c r="H2" s="211">
        <v>93658957.599999994</v>
      </c>
    </row>
    <row r="3" spans="1:8" x14ac:dyDescent="0.2">
      <c r="A3" s="210">
        <v>1111200100</v>
      </c>
      <c r="B3" s="210" t="s">
        <v>274</v>
      </c>
      <c r="C3" s="219">
        <v>9500000</v>
      </c>
      <c r="D3" s="211">
        <v>10700000</v>
      </c>
      <c r="E3" s="211">
        <v>8190846.8899999997</v>
      </c>
      <c r="F3" s="211">
        <v>9580731.7799999993</v>
      </c>
      <c r="G3" s="211">
        <v>14105708.93</v>
      </c>
      <c r="H3" s="211">
        <v>30162687.68</v>
      </c>
    </row>
    <row r="4" spans="1:8" x14ac:dyDescent="0.2">
      <c r="A4" s="210">
        <v>1111200216</v>
      </c>
      <c r="B4" s="210" t="s">
        <v>1369</v>
      </c>
      <c r="C4" s="219">
        <f>184000/10*12</f>
        <v>220800</v>
      </c>
      <c r="D4" s="211">
        <v>150000</v>
      </c>
      <c r="E4" s="211">
        <v>169453.84</v>
      </c>
      <c r="F4" s="211">
        <v>130017.21</v>
      </c>
      <c r="G4" s="211">
        <v>116132</v>
      </c>
      <c r="H4" s="211">
        <v>31331.32</v>
      </c>
    </row>
    <row r="5" spans="1:8" x14ac:dyDescent="0.2">
      <c r="A5" s="210">
        <v>1111300291</v>
      </c>
      <c r="B5" s="210" t="s">
        <v>275</v>
      </c>
      <c r="C5" s="219">
        <v>350000</v>
      </c>
      <c r="D5" s="211">
        <v>350000</v>
      </c>
      <c r="E5" s="211">
        <v>229660</v>
      </c>
      <c r="F5" s="211">
        <v>355348</v>
      </c>
      <c r="G5" s="211">
        <v>426316</v>
      </c>
      <c r="H5" s="211">
        <v>419635.96</v>
      </c>
    </row>
    <row r="6" spans="1:8" x14ac:dyDescent="0.2">
      <c r="A6" s="210">
        <v>1111400100</v>
      </c>
      <c r="B6" s="210" t="s">
        <v>276</v>
      </c>
      <c r="C6" s="219">
        <f>4850000+7500000</f>
        <v>12350000</v>
      </c>
      <c r="D6" s="211">
        <v>4850000</v>
      </c>
      <c r="E6" s="211">
        <v>5771786</v>
      </c>
      <c r="F6" s="211">
        <v>4807627</v>
      </c>
      <c r="G6" s="211">
        <v>4810566.0999999996</v>
      </c>
      <c r="H6" s="211">
        <v>4739242</v>
      </c>
    </row>
    <row r="7" spans="1:8" x14ac:dyDescent="0.2">
      <c r="A7" s="210">
        <v>1113000290</v>
      </c>
      <c r="B7" s="210" t="s">
        <v>505</v>
      </c>
      <c r="C7" s="219">
        <v>21000000</v>
      </c>
      <c r="D7" s="211">
        <v>20250000</v>
      </c>
      <c r="F7" s="211">
        <v>21805512</v>
      </c>
      <c r="G7" s="211">
        <v>20560741.82</v>
      </c>
      <c r="H7" s="211">
        <v>18475752.329999998</v>
      </c>
    </row>
    <row r="8" spans="1:8" x14ac:dyDescent="0.2">
      <c r="A8" s="210">
        <v>1121000220</v>
      </c>
      <c r="B8" s="210" t="s">
        <v>1542</v>
      </c>
      <c r="C8" s="219">
        <v>3500</v>
      </c>
      <c r="E8" s="211">
        <v>2290</v>
      </c>
      <c r="F8" s="211">
        <v>1530.94</v>
      </c>
      <c r="H8" s="211">
        <v>97</v>
      </c>
    </row>
    <row r="9" spans="1:8" x14ac:dyDescent="0.2">
      <c r="A9" s="210">
        <v>1122000220</v>
      </c>
      <c r="B9" s="210" t="s">
        <v>308</v>
      </c>
      <c r="C9" s="219">
        <v>1600000</v>
      </c>
      <c r="D9" s="211">
        <v>1600000</v>
      </c>
      <c r="E9" s="211">
        <v>1240026.06</v>
      </c>
      <c r="F9" s="211">
        <v>1358807.15</v>
      </c>
      <c r="G9" s="211">
        <v>1419059.92</v>
      </c>
      <c r="H9" s="211">
        <v>1246440.6499999999</v>
      </c>
    </row>
    <row r="10" spans="1:8" x14ac:dyDescent="0.2">
      <c r="A10" s="210">
        <v>1122000221</v>
      </c>
      <c r="B10" s="210" t="s">
        <v>1370</v>
      </c>
      <c r="C10" s="219">
        <v>400000</v>
      </c>
      <c r="D10" s="211">
        <v>400000</v>
      </c>
      <c r="E10" s="211">
        <v>304924.13</v>
      </c>
      <c r="F10" s="211">
        <v>233869.6</v>
      </c>
      <c r="G10" s="211">
        <v>330171.59999999998</v>
      </c>
      <c r="H10" s="211">
        <v>386624.33</v>
      </c>
    </row>
    <row r="11" spans="1:8" x14ac:dyDescent="0.2">
      <c r="A11" s="210">
        <v>1123000220</v>
      </c>
      <c r="B11" s="210" t="s">
        <v>1171</v>
      </c>
      <c r="C11" s="219"/>
      <c r="H11" s="211">
        <v>330.6</v>
      </c>
    </row>
    <row r="12" spans="1:8" x14ac:dyDescent="0.2">
      <c r="A12" s="210">
        <v>1124100220</v>
      </c>
      <c r="B12" s="210" t="s">
        <v>309</v>
      </c>
      <c r="C12" s="219">
        <v>0</v>
      </c>
      <c r="D12" s="211">
        <v>1500</v>
      </c>
      <c r="E12" s="211">
        <v>97</v>
      </c>
      <c r="F12" s="211">
        <v>1792</v>
      </c>
      <c r="G12" s="211">
        <v>2595</v>
      </c>
      <c r="H12" s="211">
        <v>2822</v>
      </c>
    </row>
    <row r="13" spans="1:8" x14ac:dyDescent="0.2">
      <c r="A13" s="210">
        <v>1129100220</v>
      </c>
      <c r="B13" s="210" t="s">
        <v>310</v>
      </c>
      <c r="C13" s="219">
        <f>118000/10*12</f>
        <v>141600</v>
      </c>
      <c r="D13" s="211">
        <v>150000</v>
      </c>
      <c r="E13" s="211">
        <v>111333.26</v>
      </c>
      <c r="F13" s="211">
        <v>93655.4</v>
      </c>
      <c r="G13" s="211">
        <v>153445.93</v>
      </c>
      <c r="H13" s="211">
        <v>28879.61</v>
      </c>
    </row>
    <row r="14" spans="1:8" x14ac:dyDescent="0.2">
      <c r="A14" s="210">
        <v>1129100221</v>
      </c>
      <c r="B14" s="210" t="s">
        <v>311</v>
      </c>
      <c r="C14" s="219">
        <f>569000/10*12</f>
        <v>682800</v>
      </c>
      <c r="D14" s="211">
        <v>600000</v>
      </c>
      <c r="E14" s="211">
        <v>537524.27</v>
      </c>
      <c r="F14" s="211">
        <v>484974.15</v>
      </c>
      <c r="G14" s="211">
        <v>641146.96</v>
      </c>
      <c r="H14" s="211">
        <v>738562.45</v>
      </c>
    </row>
    <row r="15" spans="1:8" x14ac:dyDescent="0.2">
      <c r="A15" s="210">
        <v>1160000662</v>
      </c>
      <c r="B15" s="210" t="s">
        <v>312</v>
      </c>
      <c r="C15" s="219">
        <f>2105000+30000+2000000+190808-1000000</f>
        <v>3325808</v>
      </c>
      <c r="D15" s="211">
        <v>2314000</v>
      </c>
      <c r="E15" s="211">
        <v>1150164.6000000001</v>
      </c>
      <c r="F15" s="211">
        <v>2777523.47</v>
      </c>
      <c r="G15" s="211">
        <v>3001817.73</v>
      </c>
      <c r="H15" s="211">
        <v>258665.72</v>
      </c>
    </row>
    <row r="16" spans="1:8" x14ac:dyDescent="0.2">
      <c r="A16" s="210">
        <v>1191000910</v>
      </c>
      <c r="B16" s="210" t="s">
        <v>500</v>
      </c>
      <c r="C16" s="219">
        <f>45000000+1000000-1000000-2000000+100000</f>
        <v>43100000</v>
      </c>
      <c r="D16" s="211">
        <v>46380000</v>
      </c>
      <c r="E16" s="211">
        <v>30075522.559999999</v>
      </c>
      <c r="F16" s="211">
        <v>43541680.990000002</v>
      </c>
      <c r="G16" s="211">
        <v>41072233.93</v>
      </c>
      <c r="H16" s="211">
        <v>42394537</v>
      </c>
    </row>
    <row r="17" spans="1:8" x14ac:dyDescent="0.2">
      <c r="A17" s="210">
        <v>1192000910</v>
      </c>
      <c r="B17" s="210" t="s">
        <v>501</v>
      </c>
      <c r="C17" s="219">
        <f>1500000+1000000*2/3+370000+21000*4+20000+11000+9000</f>
        <v>2660666.6666666665</v>
      </c>
      <c r="D17" s="211">
        <v>1402322</v>
      </c>
      <c r="E17" s="211">
        <v>1370321</v>
      </c>
      <c r="F17" s="211">
        <v>2801927</v>
      </c>
      <c r="G17" s="211">
        <v>3346900</v>
      </c>
      <c r="H17" s="211">
        <v>1498728</v>
      </c>
    </row>
    <row r="18" spans="1:8" x14ac:dyDescent="0.2">
      <c r="A18" s="210">
        <v>1194000910</v>
      </c>
      <c r="B18" s="210" t="s">
        <v>1371</v>
      </c>
      <c r="C18" s="219"/>
    </row>
    <row r="19" spans="1:8" x14ac:dyDescent="0.2">
      <c r="A19" s="210">
        <v>1194000912</v>
      </c>
      <c r="B19" s="210" t="s">
        <v>1372</v>
      </c>
      <c r="C19" s="219"/>
    </row>
    <row r="20" spans="1:8" x14ac:dyDescent="0.2">
      <c r="A20" s="210">
        <v>1196000910</v>
      </c>
      <c r="B20" s="210" t="s">
        <v>1373</v>
      </c>
      <c r="C20" s="219"/>
    </row>
    <row r="21" spans="1:8" x14ac:dyDescent="0.2">
      <c r="A21" s="210">
        <v>1196000920</v>
      </c>
      <c r="B21" s="210" t="s">
        <v>71</v>
      </c>
      <c r="C21" s="219"/>
    </row>
    <row r="22" spans="1:8" x14ac:dyDescent="0.2">
      <c r="A22" s="210">
        <v>1212300241</v>
      </c>
      <c r="B22" s="210" t="s">
        <v>1374</v>
      </c>
      <c r="C22" s="219"/>
    </row>
    <row r="23" spans="1:8" x14ac:dyDescent="0.2">
      <c r="A23" s="210">
        <v>1212300290</v>
      </c>
      <c r="B23" s="210" t="s">
        <v>1375</v>
      </c>
      <c r="C23" s="219"/>
    </row>
    <row r="24" spans="1:8" x14ac:dyDescent="0.2">
      <c r="A24" s="210">
        <v>1212300690</v>
      </c>
      <c r="B24" s="210" t="s">
        <v>313</v>
      </c>
      <c r="C24" s="219">
        <v>0</v>
      </c>
      <c r="E24" s="211">
        <v>2000</v>
      </c>
      <c r="F24" s="211">
        <v>5000</v>
      </c>
      <c r="G24" s="211">
        <v>34950</v>
      </c>
      <c r="H24" s="211">
        <v>16500</v>
      </c>
    </row>
    <row r="25" spans="1:8" x14ac:dyDescent="0.2">
      <c r="A25" s="210">
        <v>1212400220</v>
      </c>
      <c r="B25" s="210" t="s">
        <v>314</v>
      </c>
      <c r="C25" s="219">
        <f>975000+25000</f>
        <v>1000000</v>
      </c>
      <c r="D25" s="211">
        <v>1048800</v>
      </c>
      <c r="E25" s="211">
        <v>682815.3</v>
      </c>
      <c r="F25" s="211">
        <v>609549.96</v>
      </c>
      <c r="G25" s="211">
        <v>555083.80000000005</v>
      </c>
      <c r="H25" s="211">
        <v>523715.26</v>
      </c>
    </row>
    <row r="26" spans="1:8" x14ac:dyDescent="0.2">
      <c r="A26" s="210">
        <v>1212400221</v>
      </c>
      <c r="B26" s="210" t="s">
        <v>315</v>
      </c>
      <c r="C26" s="219">
        <f>300000+25000</f>
        <v>325000</v>
      </c>
      <c r="D26" s="211">
        <v>160000</v>
      </c>
      <c r="E26" s="211">
        <v>252515.4</v>
      </c>
      <c r="F26" s="211">
        <v>273765.5</v>
      </c>
      <c r="G26" s="211">
        <v>259540.92</v>
      </c>
      <c r="H26" s="211">
        <v>239297.05</v>
      </c>
    </row>
    <row r="27" spans="1:8" x14ac:dyDescent="0.2">
      <c r="A27" s="210">
        <v>1212500920</v>
      </c>
      <c r="B27" s="210" t="s">
        <v>1458</v>
      </c>
      <c r="C27" s="219"/>
    </row>
    <row r="28" spans="1:8" x14ac:dyDescent="0.2">
      <c r="A28" s="210">
        <v>1213000220</v>
      </c>
      <c r="B28" s="210" t="s">
        <v>316</v>
      </c>
      <c r="C28" s="219">
        <f>38000/10*12</f>
        <v>45600</v>
      </c>
      <c r="D28" s="211">
        <v>42000</v>
      </c>
      <c r="E28" s="211">
        <v>38989.800000000003</v>
      </c>
      <c r="F28" s="211">
        <v>40078.199999999997</v>
      </c>
      <c r="G28" s="211">
        <v>34325</v>
      </c>
      <c r="H28" s="211">
        <v>50808.9</v>
      </c>
    </row>
    <row r="29" spans="1:8" x14ac:dyDescent="0.2">
      <c r="A29" s="210">
        <v>1213000221</v>
      </c>
      <c r="B29" s="210" t="s">
        <v>1376</v>
      </c>
      <c r="C29" s="219"/>
      <c r="H29" s="211">
        <v>342.7</v>
      </c>
    </row>
    <row r="30" spans="1:8" x14ac:dyDescent="0.2">
      <c r="A30" s="210">
        <v>1214200220</v>
      </c>
      <c r="B30" s="210" t="s">
        <v>1377</v>
      </c>
      <c r="C30" s="219"/>
    </row>
    <row r="31" spans="1:8" x14ac:dyDescent="0.2">
      <c r="A31" s="210">
        <v>1214200221</v>
      </c>
      <c r="B31" s="210" t="s">
        <v>317</v>
      </c>
      <c r="C31" s="219">
        <v>100000</v>
      </c>
      <c r="D31" s="211">
        <v>80000</v>
      </c>
      <c r="E31" s="211">
        <v>80968</v>
      </c>
      <c r="F31" s="211">
        <v>80150</v>
      </c>
      <c r="G31" s="211">
        <v>45805</v>
      </c>
      <c r="H31" s="211">
        <v>52673</v>
      </c>
    </row>
    <row r="32" spans="1:8" x14ac:dyDescent="0.2">
      <c r="A32" s="210">
        <v>1214200490</v>
      </c>
      <c r="B32" s="210" t="s">
        <v>691</v>
      </c>
      <c r="C32" s="219"/>
    </row>
    <row r="33" spans="1:8" x14ac:dyDescent="0.2">
      <c r="A33" s="210">
        <v>1214200960</v>
      </c>
      <c r="B33" s="210" t="s">
        <v>491</v>
      </c>
      <c r="C33" s="219">
        <v>200000</v>
      </c>
      <c r="D33" s="211">
        <v>300000</v>
      </c>
      <c r="F33" s="211">
        <v>200000</v>
      </c>
      <c r="G33" s="211">
        <v>200000</v>
      </c>
      <c r="H33" s="211">
        <v>400000</v>
      </c>
    </row>
    <row r="34" spans="1:8" x14ac:dyDescent="0.2">
      <c r="A34" s="210">
        <v>1214201220</v>
      </c>
      <c r="B34" s="210" t="s">
        <v>1378</v>
      </c>
      <c r="C34" s="219"/>
      <c r="E34" s="211">
        <v>928</v>
      </c>
    </row>
    <row r="35" spans="1:8" x14ac:dyDescent="0.2">
      <c r="A35" s="210">
        <v>1214300220</v>
      </c>
      <c r="B35" s="210" t="s">
        <v>318</v>
      </c>
      <c r="C35" s="219">
        <f>144000/11*12</f>
        <v>157090.90909090909</v>
      </c>
      <c r="D35" s="211">
        <v>135000</v>
      </c>
      <c r="E35" s="211">
        <v>132193.25</v>
      </c>
      <c r="F35" s="211">
        <v>147337.57999999999</v>
      </c>
      <c r="G35" s="211">
        <v>141765.10999999999</v>
      </c>
      <c r="H35" s="211">
        <v>121723.37</v>
      </c>
    </row>
    <row r="36" spans="1:8" x14ac:dyDescent="0.2">
      <c r="A36" s="210">
        <v>1214300690</v>
      </c>
      <c r="B36" s="210" t="s">
        <v>1379</v>
      </c>
      <c r="C36" s="219"/>
    </row>
    <row r="37" spans="1:8" x14ac:dyDescent="0.2">
      <c r="A37" s="210">
        <v>1214300691</v>
      </c>
      <c r="B37" s="210" t="s">
        <v>1380</v>
      </c>
      <c r="C37" s="219"/>
    </row>
    <row r="38" spans="1:8" x14ac:dyDescent="0.2">
      <c r="A38" s="210">
        <v>1214301220</v>
      </c>
      <c r="B38" s="210" t="s">
        <v>319</v>
      </c>
      <c r="C38" s="219">
        <v>18000</v>
      </c>
      <c r="D38" s="211">
        <v>12000</v>
      </c>
      <c r="E38" s="211">
        <v>13452.5</v>
      </c>
      <c r="F38" s="211">
        <v>11262.5</v>
      </c>
      <c r="G38" s="211">
        <v>19748.5</v>
      </c>
      <c r="H38" s="211">
        <v>15016.5</v>
      </c>
    </row>
    <row r="39" spans="1:8" x14ac:dyDescent="0.2">
      <c r="A39" s="210">
        <v>1215200910</v>
      </c>
      <c r="B39" s="210" t="s">
        <v>1381</v>
      </c>
      <c r="C39" s="219"/>
    </row>
    <row r="40" spans="1:8" x14ac:dyDescent="0.2">
      <c r="A40" s="210">
        <v>1222000440</v>
      </c>
      <c r="B40" s="210" t="s">
        <v>320</v>
      </c>
      <c r="C40" s="219">
        <f>34000/9*12</f>
        <v>45333.333333333336</v>
      </c>
      <c r="D40" s="211">
        <v>36000</v>
      </c>
      <c r="E40" s="211">
        <v>34150</v>
      </c>
      <c r="F40" s="211">
        <v>31817.5</v>
      </c>
      <c r="G40" s="211">
        <v>61859</v>
      </c>
      <c r="H40" s="211">
        <v>52809</v>
      </c>
    </row>
    <row r="41" spans="1:8" x14ac:dyDescent="0.2">
      <c r="A41" s="210">
        <v>1222000441</v>
      </c>
      <c r="B41" s="210" t="s">
        <v>1586</v>
      </c>
      <c r="C41" s="219">
        <v>0</v>
      </c>
      <c r="E41" s="211">
        <v>200</v>
      </c>
      <c r="F41" s="211">
        <v>200</v>
      </c>
    </row>
    <row r="42" spans="1:8" x14ac:dyDescent="0.2">
      <c r="A42" s="210">
        <v>1222000910</v>
      </c>
      <c r="B42" s="210" t="s">
        <v>1382</v>
      </c>
      <c r="C42" s="219"/>
    </row>
    <row r="43" spans="1:8" x14ac:dyDescent="0.2">
      <c r="A43" s="210">
        <v>1222000970</v>
      </c>
      <c r="B43" s="227" t="s">
        <v>1663</v>
      </c>
      <c r="C43" s="219">
        <f>360000+360000*5/12-10000</f>
        <v>500000</v>
      </c>
    </row>
    <row r="44" spans="1:8" x14ac:dyDescent="0.2">
      <c r="A44" s="210">
        <v>1222100400</v>
      </c>
      <c r="B44" s="210" t="s">
        <v>321</v>
      </c>
      <c r="C44" s="219">
        <v>350000</v>
      </c>
      <c r="D44" s="211">
        <v>250000</v>
      </c>
      <c r="E44" s="211">
        <v>257639.63</v>
      </c>
      <c r="F44" s="211">
        <v>418304.48</v>
      </c>
      <c r="G44" s="211">
        <v>163637.17000000001</v>
      </c>
      <c r="H44" s="211">
        <v>273515.86</v>
      </c>
    </row>
    <row r="45" spans="1:8" x14ac:dyDescent="0.2">
      <c r="A45" s="210">
        <v>1222100440</v>
      </c>
      <c r="B45" s="210" t="s">
        <v>322</v>
      </c>
      <c r="C45" s="219">
        <v>2900000</v>
      </c>
      <c r="D45" s="211">
        <v>3200000</v>
      </c>
      <c r="E45" s="211">
        <v>1901711.52</v>
      </c>
      <c r="F45" s="211">
        <v>2625198.4</v>
      </c>
      <c r="G45" s="211">
        <v>1913300.43</v>
      </c>
      <c r="H45" s="211">
        <v>1839286.62</v>
      </c>
    </row>
    <row r="46" spans="1:8" x14ac:dyDescent="0.2">
      <c r="A46" s="210">
        <v>1222100910</v>
      </c>
      <c r="B46" s="210" t="s">
        <v>492</v>
      </c>
      <c r="C46" s="219">
        <v>10000</v>
      </c>
      <c r="D46" s="211">
        <v>15000</v>
      </c>
      <c r="F46" s="211">
        <v>12336</v>
      </c>
      <c r="G46" s="211">
        <v>10287</v>
      </c>
      <c r="H46" s="211">
        <v>11746</v>
      </c>
    </row>
    <row r="47" spans="1:8" x14ac:dyDescent="0.2">
      <c r="A47" s="210">
        <v>1223000410</v>
      </c>
      <c r="B47" s="210" t="s">
        <v>1177</v>
      </c>
      <c r="C47" s="219"/>
    </row>
    <row r="48" spans="1:8" x14ac:dyDescent="0.2">
      <c r="A48" s="210">
        <v>1231000290</v>
      </c>
      <c r="B48" s="210" t="s">
        <v>1541</v>
      </c>
      <c r="C48" s="219"/>
    </row>
    <row r="49" spans="1:8" x14ac:dyDescent="0.2">
      <c r="A49" s="210">
        <v>1233000690</v>
      </c>
      <c r="B49" s="210" t="s">
        <v>323</v>
      </c>
      <c r="C49" s="219">
        <f>34000/10*12</f>
        <v>40800</v>
      </c>
      <c r="D49" s="211">
        <v>31000</v>
      </c>
      <c r="E49" s="211">
        <v>33619.69</v>
      </c>
      <c r="F49" s="211">
        <v>32953.17</v>
      </c>
      <c r="G49" s="211">
        <v>26472.04</v>
      </c>
      <c r="H49" s="211">
        <v>11793.6</v>
      </c>
    </row>
    <row r="50" spans="1:8" x14ac:dyDescent="0.2">
      <c r="A50" s="210">
        <v>1233100220</v>
      </c>
      <c r="B50" s="210" t="s">
        <v>324</v>
      </c>
      <c r="C50" s="219">
        <v>2394640</v>
      </c>
      <c r="D50" s="211">
        <v>3250000</v>
      </c>
      <c r="E50" s="211">
        <v>1157475.83</v>
      </c>
      <c r="F50" s="211">
        <v>2368487.61</v>
      </c>
      <c r="G50" s="211">
        <v>2636570.41</v>
      </c>
      <c r="H50" s="211">
        <v>2293573.2999999998</v>
      </c>
    </row>
    <row r="51" spans="1:8" x14ac:dyDescent="0.2">
      <c r="A51" s="210">
        <v>1233200220</v>
      </c>
      <c r="B51" s="210" t="s">
        <v>1368</v>
      </c>
      <c r="C51" s="219"/>
      <c r="H51" s="211">
        <v>117</v>
      </c>
    </row>
    <row r="52" spans="1:8" x14ac:dyDescent="0.2">
      <c r="A52" s="210">
        <v>1233200290</v>
      </c>
      <c r="B52" s="210" t="s">
        <v>325</v>
      </c>
      <c r="C52" s="219">
        <f>5000000-2000000+2000000</f>
        <v>5000000</v>
      </c>
      <c r="D52" s="211">
        <v>5083140</v>
      </c>
      <c r="E52" s="211">
        <v>2061139.32</v>
      </c>
      <c r="F52" s="211">
        <v>7249827.9000000004</v>
      </c>
      <c r="G52" s="211">
        <v>3095244</v>
      </c>
      <c r="H52" s="211">
        <v>2756585.5</v>
      </c>
    </row>
    <row r="53" spans="1:8" x14ac:dyDescent="0.2">
      <c r="A53" s="210">
        <v>1233200291</v>
      </c>
      <c r="B53" s="210" t="s">
        <v>1587</v>
      </c>
      <c r="C53" s="219">
        <f>425698</f>
        <v>425698</v>
      </c>
      <c r="D53" s="211">
        <v>493036</v>
      </c>
      <c r="E53" s="211">
        <v>265194.71999999997</v>
      </c>
    </row>
    <row r="54" spans="1:8" x14ac:dyDescent="0.2">
      <c r="A54" s="210">
        <v>1233200292</v>
      </c>
      <c r="B54" s="225" t="s">
        <v>1660</v>
      </c>
      <c r="C54" s="219">
        <v>375638</v>
      </c>
    </row>
    <row r="55" spans="1:8" x14ac:dyDescent="0.2">
      <c r="A55" s="210">
        <v>1233200293</v>
      </c>
      <c r="B55" s="225" t="s">
        <v>1661</v>
      </c>
      <c r="C55" s="219">
        <v>1449150</v>
      </c>
    </row>
    <row r="56" spans="1:8" x14ac:dyDescent="0.2">
      <c r="A56" s="210">
        <v>1233300290</v>
      </c>
      <c r="B56" s="210" t="s">
        <v>326</v>
      </c>
      <c r="C56" s="219"/>
      <c r="E56" s="211">
        <v>345</v>
      </c>
      <c r="F56" s="211">
        <v>375</v>
      </c>
      <c r="G56" s="211">
        <v>445</v>
      </c>
      <c r="H56" s="211">
        <v>465</v>
      </c>
    </row>
    <row r="57" spans="1:8" x14ac:dyDescent="0.2">
      <c r="A57" s="210">
        <v>1242000215</v>
      </c>
      <c r="B57" s="210" t="s">
        <v>327</v>
      </c>
      <c r="C57" s="219"/>
      <c r="G57" s="211">
        <v>-27.6</v>
      </c>
      <c r="H57" s="211">
        <v>0.2</v>
      </c>
    </row>
    <row r="58" spans="1:8" x14ac:dyDescent="0.2">
      <c r="A58" s="210">
        <v>1242000220</v>
      </c>
      <c r="B58" s="210" t="s">
        <v>328</v>
      </c>
      <c r="C58" s="219">
        <f>193000/10*12-20000</f>
        <v>211600</v>
      </c>
      <c r="D58" s="211">
        <v>137000</v>
      </c>
      <c r="E58" s="211">
        <v>175606.13</v>
      </c>
      <c r="F58" s="211">
        <v>145964.9</v>
      </c>
      <c r="G58" s="211">
        <v>180676.5</v>
      </c>
      <c r="H58" s="211">
        <v>180323.19</v>
      </c>
    </row>
    <row r="59" spans="1:8" x14ac:dyDescent="0.2">
      <c r="A59" s="210">
        <v>1242000221</v>
      </c>
      <c r="B59" s="210" t="s">
        <v>1383</v>
      </c>
      <c r="C59" s="219">
        <v>0</v>
      </c>
      <c r="D59" s="211">
        <v>10000</v>
      </c>
      <c r="F59" s="211">
        <v>11168.6</v>
      </c>
      <c r="H59" s="211">
        <v>3993</v>
      </c>
    </row>
    <row r="60" spans="1:8" x14ac:dyDescent="0.2">
      <c r="A60" s="210">
        <v>1242000690</v>
      </c>
      <c r="B60" s="210" t="s">
        <v>329</v>
      </c>
      <c r="C60" s="219"/>
      <c r="F60" s="211">
        <v>9432</v>
      </c>
      <c r="G60" s="211">
        <v>74117</v>
      </c>
      <c r="H60" s="211">
        <v>28335</v>
      </c>
    </row>
    <row r="61" spans="1:8" x14ac:dyDescent="0.2">
      <c r="A61" s="210">
        <v>1246100960</v>
      </c>
      <c r="B61" s="210" t="s">
        <v>1384</v>
      </c>
      <c r="C61" s="219"/>
    </row>
    <row r="62" spans="1:8" x14ac:dyDescent="0.2">
      <c r="A62" s="210">
        <v>1247200420</v>
      </c>
      <c r="B62" s="210" t="s">
        <v>1385</v>
      </c>
      <c r="C62" s="219"/>
    </row>
    <row r="63" spans="1:8" x14ac:dyDescent="0.2">
      <c r="A63" s="210">
        <v>1261000421</v>
      </c>
      <c r="B63" s="210" t="s">
        <v>330</v>
      </c>
      <c r="C63" s="219">
        <v>200000</v>
      </c>
      <c r="D63" s="211">
        <v>200000</v>
      </c>
      <c r="F63" s="211">
        <v>390000</v>
      </c>
      <c r="H63" s="211">
        <v>150000</v>
      </c>
    </row>
    <row r="64" spans="1:8" x14ac:dyDescent="0.2">
      <c r="A64" s="210">
        <v>1269000662</v>
      </c>
      <c r="B64" s="210" t="s">
        <v>331</v>
      </c>
      <c r="C64" s="219"/>
      <c r="E64" s="211">
        <v>959.26</v>
      </c>
      <c r="F64" s="211">
        <v>25.77</v>
      </c>
      <c r="G64" s="211">
        <v>14920.5</v>
      </c>
      <c r="H64" s="211">
        <v>14099.93</v>
      </c>
    </row>
    <row r="65" spans="1:8" x14ac:dyDescent="0.2">
      <c r="A65" s="210">
        <v>1269000690</v>
      </c>
      <c r="B65" s="210" t="s">
        <v>1588</v>
      </c>
      <c r="C65" s="219">
        <f>35000+5000</f>
        <v>40000</v>
      </c>
      <c r="D65" s="211">
        <v>13000</v>
      </c>
      <c r="E65" s="211">
        <v>36000</v>
      </c>
    </row>
    <row r="66" spans="1:8" x14ac:dyDescent="0.2">
      <c r="A66" s="210">
        <v>1269000780</v>
      </c>
      <c r="B66" s="210" t="s">
        <v>835</v>
      </c>
      <c r="C66" s="219"/>
    </row>
    <row r="67" spans="1:8" x14ac:dyDescent="0.2">
      <c r="A67" s="210">
        <v>1269000790</v>
      </c>
      <c r="B67" s="210" t="s">
        <v>331</v>
      </c>
      <c r="C67" s="219">
        <f>151000/10*12-929+20000-271-4729</f>
        <v>195271</v>
      </c>
      <c r="D67" s="211">
        <v>281136</v>
      </c>
      <c r="E67" s="211">
        <v>147628.13</v>
      </c>
      <c r="F67" s="211">
        <v>164323.84</v>
      </c>
      <c r="G67" s="211">
        <v>132311.29</v>
      </c>
      <c r="H67" s="211">
        <v>157214.23000000001</v>
      </c>
    </row>
    <row r="68" spans="1:8" x14ac:dyDescent="0.2">
      <c r="A68" s="210">
        <v>1269100662</v>
      </c>
      <c r="B68" s="210" t="s">
        <v>1386</v>
      </c>
      <c r="C68" s="219"/>
    </row>
    <row r="69" spans="1:8" x14ac:dyDescent="0.2">
      <c r="A69" s="210">
        <v>1281000215</v>
      </c>
      <c r="B69" s="210" t="s">
        <v>332</v>
      </c>
      <c r="C69" s="219">
        <v>75000</v>
      </c>
      <c r="D69" s="211">
        <v>52000</v>
      </c>
      <c r="E69" s="211">
        <v>61390.7</v>
      </c>
      <c r="F69" s="211">
        <v>62135.76</v>
      </c>
      <c r="G69" s="211">
        <v>49423.66</v>
      </c>
      <c r="H69" s="211">
        <v>108973.36</v>
      </c>
    </row>
    <row r="70" spans="1:8" x14ac:dyDescent="0.2">
      <c r="A70" s="210">
        <v>1281000222</v>
      </c>
      <c r="B70" s="210" t="s">
        <v>1540</v>
      </c>
      <c r="C70" s="219"/>
      <c r="G70" s="211">
        <v>30</v>
      </c>
    </row>
    <row r="71" spans="1:8" x14ac:dyDescent="0.2">
      <c r="A71" s="210">
        <v>1281000231</v>
      </c>
      <c r="B71" s="210" t="s">
        <v>54</v>
      </c>
      <c r="C71" s="219"/>
      <c r="G71" s="211">
        <v>675.2</v>
      </c>
    </row>
    <row r="72" spans="1:8" x14ac:dyDescent="0.2">
      <c r="A72" s="210">
        <v>1281000990</v>
      </c>
      <c r="B72" s="210" t="s">
        <v>55</v>
      </c>
      <c r="C72" s="219"/>
      <c r="G72" s="211">
        <v>48743.17</v>
      </c>
    </row>
    <row r="73" spans="1:8" x14ac:dyDescent="0.2">
      <c r="A73" s="210">
        <v>1282000490</v>
      </c>
      <c r="B73" s="210" t="s">
        <v>333</v>
      </c>
      <c r="C73" s="219">
        <v>250000</v>
      </c>
      <c r="D73" s="211">
        <v>300000</v>
      </c>
      <c r="E73" s="211">
        <v>110941.04</v>
      </c>
      <c r="F73" s="211">
        <v>418046.04</v>
      </c>
      <c r="G73" s="211">
        <v>220451.8</v>
      </c>
      <c r="H73" s="211">
        <v>402770.94</v>
      </c>
    </row>
    <row r="74" spans="1:8" x14ac:dyDescent="0.2">
      <c r="A74" s="210">
        <v>1311000690</v>
      </c>
      <c r="B74" s="210" t="s">
        <v>1184</v>
      </c>
      <c r="C74" s="219"/>
      <c r="F74" s="211">
        <v>25570</v>
      </c>
      <c r="H74" s="211">
        <v>13000</v>
      </c>
    </row>
    <row r="75" spans="1:8" x14ac:dyDescent="0.2">
      <c r="A75" s="210">
        <v>1312200440</v>
      </c>
      <c r="B75" s="210" t="s">
        <v>284</v>
      </c>
      <c r="C75" s="219">
        <v>10000</v>
      </c>
      <c r="D75" s="211">
        <v>25000</v>
      </c>
      <c r="E75" s="211">
        <v>7953</v>
      </c>
      <c r="G75" s="211">
        <v>2170</v>
      </c>
      <c r="H75" s="211">
        <v>5998</v>
      </c>
    </row>
    <row r="76" spans="1:8" x14ac:dyDescent="0.2">
      <c r="A76" s="210">
        <v>1312200790</v>
      </c>
      <c r="B76" s="210" t="s">
        <v>1387</v>
      </c>
      <c r="C76" s="219">
        <v>129114</v>
      </c>
      <c r="D76" s="211">
        <v>129114</v>
      </c>
      <c r="E76" s="211">
        <v>46445</v>
      </c>
      <c r="F76" s="211">
        <v>195832</v>
      </c>
      <c r="G76" s="211">
        <v>134080</v>
      </c>
      <c r="H76" s="211">
        <v>64386.9</v>
      </c>
    </row>
    <row r="77" spans="1:8" x14ac:dyDescent="0.2">
      <c r="A77" s="210">
        <v>1312200920</v>
      </c>
      <c r="B77" s="210" t="s">
        <v>1388</v>
      </c>
      <c r="C77" s="219"/>
      <c r="G77" s="211">
        <v>151.68</v>
      </c>
    </row>
    <row r="78" spans="1:8" x14ac:dyDescent="0.2">
      <c r="A78" s="210">
        <v>1312210920</v>
      </c>
      <c r="B78" s="210" t="s">
        <v>362</v>
      </c>
      <c r="C78" s="219">
        <v>18142071</v>
      </c>
      <c r="D78" s="211">
        <v>17318581</v>
      </c>
      <c r="E78" s="211">
        <v>13783072.07</v>
      </c>
      <c r="F78" s="211">
        <v>15587026.76</v>
      </c>
      <c r="G78" s="211">
        <v>13853322.76</v>
      </c>
      <c r="H78" s="211">
        <v>12815180.91</v>
      </c>
    </row>
    <row r="79" spans="1:8" x14ac:dyDescent="0.2">
      <c r="A79" s="210">
        <v>1312220920</v>
      </c>
      <c r="B79" s="210" t="s">
        <v>363</v>
      </c>
      <c r="C79" s="219">
        <v>4820402</v>
      </c>
      <c r="D79" s="211">
        <v>4578320</v>
      </c>
      <c r="F79" s="211">
        <v>4055097.42</v>
      </c>
      <c r="G79" s="211">
        <v>3832371.75</v>
      </c>
      <c r="H79" s="211">
        <v>3738152</v>
      </c>
    </row>
    <row r="80" spans="1:8" x14ac:dyDescent="0.2">
      <c r="A80" s="210">
        <v>1312230920</v>
      </c>
      <c r="B80" s="210" t="s">
        <v>364</v>
      </c>
      <c r="C80" s="219">
        <v>20000</v>
      </c>
      <c r="D80" s="211">
        <v>20000</v>
      </c>
      <c r="E80" s="211">
        <v>32716.5</v>
      </c>
      <c r="F80" s="211">
        <v>47612</v>
      </c>
      <c r="G80" s="211">
        <v>25378.9</v>
      </c>
      <c r="H80" s="211">
        <v>26856.44</v>
      </c>
    </row>
    <row r="81" spans="1:8" x14ac:dyDescent="0.2">
      <c r="A81" s="210">
        <v>1312500440</v>
      </c>
      <c r="B81" s="210" t="s">
        <v>286</v>
      </c>
      <c r="C81" s="219">
        <v>1969169</v>
      </c>
      <c r="D81" s="211">
        <v>1969169</v>
      </c>
      <c r="E81" s="211">
        <v>527732.30000000005</v>
      </c>
      <c r="F81" s="211">
        <v>1757222.25</v>
      </c>
      <c r="G81" s="211">
        <v>1201917.8</v>
      </c>
      <c r="H81" s="211">
        <v>1116616.2</v>
      </c>
    </row>
    <row r="82" spans="1:8" x14ac:dyDescent="0.2">
      <c r="A82" s="210">
        <v>1312501440</v>
      </c>
      <c r="B82" s="210" t="s">
        <v>287</v>
      </c>
      <c r="C82" s="219">
        <v>607790</v>
      </c>
      <c r="D82" s="211">
        <v>607790</v>
      </c>
      <c r="E82" s="211">
        <v>707238.3</v>
      </c>
      <c r="F82" s="211">
        <v>484098.6</v>
      </c>
      <c r="G82" s="211">
        <v>514024.4</v>
      </c>
      <c r="H82" s="211">
        <v>408646</v>
      </c>
    </row>
    <row r="83" spans="1:8" x14ac:dyDescent="0.2">
      <c r="A83" s="210">
        <v>1312501441</v>
      </c>
      <c r="B83" s="210" t="s">
        <v>1389</v>
      </c>
      <c r="C83" s="219"/>
    </row>
    <row r="84" spans="1:8" x14ac:dyDescent="0.2">
      <c r="A84" s="210">
        <v>1312501920</v>
      </c>
      <c r="B84" s="210" t="s">
        <v>365</v>
      </c>
      <c r="C84" s="219">
        <v>1031401</v>
      </c>
      <c r="D84" s="211">
        <v>1031401</v>
      </c>
      <c r="F84" s="211">
        <v>896518</v>
      </c>
      <c r="G84" s="211">
        <v>888491</v>
      </c>
      <c r="H84" s="211">
        <v>1230050</v>
      </c>
    </row>
    <row r="85" spans="1:8" x14ac:dyDescent="0.2">
      <c r="A85" s="210">
        <v>1313200410</v>
      </c>
      <c r="B85" s="210" t="s">
        <v>1390</v>
      </c>
      <c r="C85" s="219">
        <v>25000</v>
      </c>
      <c r="D85" s="211">
        <v>25000</v>
      </c>
      <c r="E85" s="211">
        <v>54920</v>
      </c>
      <c r="F85" s="211">
        <v>14600</v>
      </c>
      <c r="G85" s="211">
        <v>11550</v>
      </c>
    </row>
    <row r="86" spans="1:8" x14ac:dyDescent="0.2">
      <c r="A86" s="210">
        <v>1313200440</v>
      </c>
      <c r="B86" s="210" t="s">
        <v>1391</v>
      </c>
      <c r="C86" s="219"/>
      <c r="G86" s="211">
        <v>437</v>
      </c>
    </row>
    <row r="87" spans="1:8" x14ac:dyDescent="0.2">
      <c r="A87" s="210">
        <v>1313200920</v>
      </c>
      <c r="B87" s="210" t="s">
        <v>56</v>
      </c>
      <c r="C87" s="219">
        <v>925000</v>
      </c>
      <c r="D87" s="211">
        <v>953107</v>
      </c>
      <c r="E87" s="211">
        <v>990351.78</v>
      </c>
      <c r="F87" s="211">
        <v>793956.2</v>
      </c>
      <c r="G87" s="211">
        <v>1076309.49</v>
      </c>
    </row>
    <row r="88" spans="1:8" x14ac:dyDescent="0.2">
      <c r="A88" s="210">
        <v>1313200921</v>
      </c>
      <c r="B88" s="210" t="s">
        <v>1391</v>
      </c>
      <c r="C88" s="219"/>
    </row>
    <row r="89" spans="1:8" x14ac:dyDescent="0.2">
      <c r="A89" s="210">
        <v>1313200922</v>
      </c>
      <c r="B89" s="210" t="s">
        <v>92</v>
      </c>
      <c r="C89" s="219"/>
    </row>
    <row r="90" spans="1:8" x14ac:dyDescent="0.2">
      <c r="A90" s="210">
        <v>1313201410</v>
      </c>
      <c r="B90" s="210" t="s">
        <v>288</v>
      </c>
      <c r="C90" s="219"/>
    </row>
    <row r="91" spans="1:8" x14ac:dyDescent="0.2">
      <c r="A91" s="210">
        <v>1313201920</v>
      </c>
      <c r="B91" s="210" t="s">
        <v>1589</v>
      </c>
      <c r="C91" s="219">
        <v>492518</v>
      </c>
      <c r="D91" s="211">
        <v>492518</v>
      </c>
      <c r="E91" s="211">
        <v>202383</v>
      </c>
      <c r="F91" s="211">
        <v>388815</v>
      </c>
      <c r="G91" s="211">
        <v>226108.83</v>
      </c>
      <c r="H91" s="211">
        <v>454162.55</v>
      </c>
    </row>
    <row r="92" spans="1:8" x14ac:dyDescent="0.2">
      <c r="A92" s="210">
        <v>1313201921</v>
      </c>
      <c r="B92" s="210" t="s">
        <v>1493</v>
      </c>
      <c r="C92" s="219">
        <v>520202</v>
      </c>
      <c r="D92" s="211">
        <v>448882</v>
      </c>
      <c r="E92" s="211">
        <v>387147.18</v>
      </c>
      <c r="F92" s="211">
        <v>153381.85</v>
      </c>
    </row>
    <row r="93" spans="1:8" x14ac:dyDescent="0.2">
      <c r="A93" s="210">
        <v>1313201922</v>
      </c>
      <c r="B93" s="210" t="s">
        <v>1492</v>
      </c>
      <c r="C93" s="219">
        <v>540750</v>
      </c>
      <c r="D93" s="211">
        <v>518100</v>
      </c>
      <c r="E93" s="211">
        <v>389875</v>
      </c>
      <c r="F93" s="211">
        <v>172337.5</v>
      </c>
    </row>
    <row r="94" spans="1:8" x14ac:dyDescent="0.2">
      <c r="A94" s="210">
        <v>1313201923</v>
      </c>
      <c r="B94" s="210" t="s">
        <v>1538</v>
      </c>
      <c r="C94" s="219">
        <v>2860641</v>
      </c>
      <c r="D94" s="211">
        <v>2677494</v>
      </c>
      <c r="E94" s="211">
        <v>2385157.36</v>
      </c>
      <c r="F94" s="211">
        <v>927214.55</v>
      </c>
    </row>
    <row r="95" spans="1:8" x14ac:dyDescent="0.2">
      <c r="A95" s="210">
        <v>1313202920</v>
      </c>
      <c r="B95" s="210" t="s">
        <v>1156</v>
      </c>
      <c r="C95" s="219"/>
      <c r="E95" s="211">
        <v>-195268.1</v>
      </c>
      <c r="F95" s="211">
        <v>-69335.520000000004</v>
      </c>
      <c r="G95" s="211">
        <v>200649.18</v>
      </c>
      <c r="H95" s="211">
        <v>423271.02</v>
      </c>
    </row>
    <row r="96" spans="1:8" x14ac:dyDescent="0.2">
      <c r="A96" s="210">
        <v>1313204920</v>
      </c>
      <c r="B96" s="210" t="s">
        <v>367</v>
      </c>
      <c r="C96" s="219">
        <v>107860</v>
      </c>
      <c r="D96" s="211">
        <v>286969</v>
      </c>
      <c r="E96" s="211">
        <v>251263.38</v>
      </c>
      <c r="F96" s="211">
        <v>756856.76</v>
      </c>
      <c r="G96" s="211">
        <v>1156517.3799999999</v>
      </c>
      <c r="H96" s="211">
        <v>1143585.23</v>
      </c>
    </row>
    <row r="97" spans="1:8" x14ac:dyDescent="0.2">
      <c r="A97" s="210">
        <v>1313205920</v>
      </c>
      <c r="B97" s="210" t="s">
        <v>368</v>
      </c>
      <c r="C97" s="219">
        <v>312611</v>
      </c>
      <c r="D97" s="211">
        <v>816625</v>
      </c>
      <c r="E97" s="211">
        <v>642824.1</v>
      </c>
      <c r="F97" s="211">
        <v>1936329.92</v>
      </c>
      <c r="G97" s="211">
        <v>3484083.3</v>
      </c>
      <c r="H97" s="211">
        <v>3410717.74</v>
      </c>
    </row>
    <row r="98" spans="1:8" x14ac:dyDescent="0.2">
      <c r="A98" s="210">
        <v>1313213920</v>
      </c>
      <c r="B98" s="210" t="s">
        <v>369</v>
      </c>
      <c r="C98" s="219">
        <v>2913760</v>
      </c>
      <c r="D98" s="211">
        <v>2069038</v>
      </c>
      <c r="E98" s="211">
        <v>2101234.41</v>
      </c>
      <c r="F98" s="211">
        <v>2546439.84</v>
      </c>
      <c r="G98" s="211">
        <v>2217734.7200000002</v>
      </c>
      <c r="H98" s="211">
        <v>1597752.54</v>
      </c>
    </row>
    <row r="99" spans="1:8" x14ac:dyDescent="0.2">
      <c r="A99" s="210">
        <v>1313213921</v>
      </c>
      <c r="B99" s="210" t="s">
        <v>1392</v>
      </c>
      <c r="C99" s="219"/>
    </row>
    <row r="100" spans="1:8" x14ac:dyDescent="0.2">
      <c r="A100" s="210">
        <v>1313221920</v>
      </c>
      <c r="B100" s="210" t="s">
        <v>370</v>
      </c>
      <c r="C100" s="219">
        <v>33269</v>
      </c>
      <c r="D100" s="211">
        <v>50000</v>
      </c>
      <c r="E100" s="211">
        <v>33269.339999999997</v>
      </c>
      <c r="F100" s="211">
        <v>88686.32</v>
      </c>
      <c r="G100" s="211">
        <v>48682.83</v>
      </c>
      <c r="H100" s="211">
        <v>43692.94</v>
      </c>
    </row>
    <row r="101" spans="1:8" x14ac:dyDescent="0.2">
      <c r="A101" s="210">
        <v>1313222920</v>
      </c>
      <c r="B101" s="210" t="s">
        <v>371</v>
      </c>
      <c r="C101" s="219">
        <v>272000</v>
      </c>
      <c r="D101" s="211">
        <v>272000</v>
      </c>
      <c r="E101" s="211">
        <v>270854.84999999998</v>
      </c>
      <c r="F101" s="211">
        <v>274688.40000000002</v>
      </c>
      <c r="G101" s="211">
        <v>122087.7</v>
      </c>
      <c r="H101" s="211">
        <v>306377.40000000002</v>
      </c>
    </row>
    <row r="102" spans="1:8" x14ac:dyDescent="0.2">
      <c r="A102" s="210">
        <v>1313223920</v>
      </c>
      <c r="B102" s="210" t="s">
        <v>372</v>
      </c>
      <c r="C102" s="219">
        <v>262500</v>
      </c>
      <c r="D102" s="211">
        <v>262500</v>
      </c>
      <c r="E102" s="211">
        <v>266912.40000000002</v>
      </c>
      <c r="F102" s="211">
        <v>262236.59999999998</v>
      </c>
      <c r="G102" s="211">
        <v>263691</v>
      </c>
      <c r="H102" s="211">
        <v>265998.5</v>
      </c>
    </row>
    <row r="103" spans="1:8" x14ac:dyDescent="0.2">
      <c r="A103" s="210">
        <v>1313300920</v>
      </c>
      <c r="B103" s="210" t="s">
        <v>373</v>
      </c>
      <c r="C103" s="219">
        <v>479429</v>
      </c>
      <c r="D103" s="211">
        <v>470028</v>
      </c>
      <c r="E103" s="211">
        <v>429182.03</v>
      </c>
      <c r="F103" s="211">
        <v>562375.81000000006</v>
      </c>
      <c r="G103" s="211">
        <v>557736.05000000005</v>
      </c>
      <c r="H103" s="211">
        <v>228820.8</v>
      </c>
    </row>
    <row r="104" spans="1:8" x14ac:dyDescent="0.2">
      <c r="A104" s="210">
        <v>1313300940</v>
      </c>
      <c r="B104" s="210" t="s">
        <v>1393</v>
      </c>
      <c r="C104" s="219"/>
    </row>
    <row r="105" spans="1:8" x14ac:dyDescent="0.2">
      <c r="A105" s="210">
        <v>1313304920</v>
      </c>
      <c r="B105" s="210" t="s">
        <v>374</v>
      </c>
      <c r="C105" s="219">
        <v>262910</v>
      </c>
      <c r="D105" s="211">
        <v>144372</v>
      </c>
      <c r="E105" s="211">
        <v>123666.75</v>
      </c>
      <c r="F105" s="211">
        <v>332550.93</v>
      </c>
      <c r="G105" s="211">
        <v>163992.64000000001</v>
      </c>
      <c r="H105" s="211">
        <v>145244.21</v>
      </c>
    </row>
    <row r="106" spans="1:8" x14ac:dyDescent="0.2">
      <c r="A106" s="210">
        <v>1313305920</v>
      </c>
      <c r="B106" s="210" t="s">
        <v>375</v>
      </c>
      <c r="C106" s="219">
        <v>708841</v>
      </c>
      <c r="D106" s="211">
        <v>378250</v>
      </c>
      <c r="E106" s="211">
        <v>300617.02</v>
      </c>
      <c r="F106" s="211">
        <v>1140938.82</v>
      </c>
      <c r="G106" s="211">
        <v>384518.42</v>
      </c>
      <c r="H106" s="211">
        <v>400796</v>
      </c>
    </row>
    <row r="107" spans="1:8" x14ac:dyDescent="0.2">
      <c r="A107" s="210">
        <v>1313313920</v>
      </c>
      <c r="B107" s="210" t="s">
        <v>376</v>
      </c>
      <c r="C107" s="219">
        <v>2150000</v>
      </c>
      <c r="D107" s="211">
        <v>2053180</v>
      </c>
      <c r="E107" s="211">
        <v>1664111</v>
      </c>
      <c r="F107" s="211">
        <v>1928298.09</v>
      </c>
      <c r="G107" s="211">
        <v>1743345.74</v>
      </c>
      <c r="H107" s="211">
        <v>2005242.05</v>
      </c>
    </row>
    <row r="108" spans="1:8" x14ac:dyDescent="0.2">
      <c r="A108" s="210">
        <v>1313317410</v>
      </c>
      <c r="B108" s="210" t="s">
        <v>289</v>
      </c>
      <c r="C108" s="219">
        <v>1125000</v>
      </c>
      <c r="D108" s="211">
        <v>1125000</v>
      </c>
      <c r="E108" s="211">
        <v>490461</v>
      </c>
      <c r="F108" s="211">
        <v>1090662.1200000001</v>
      </c>
      <c r="G108" s="211">
        <v>1024742</v>
      </c>
      <c r="H108" s="211">
        <v>1056757.42</v>
      </c>
    </row>
    <row r="109" spans="1:8" x14ac:dyDescent="0.2">
      <c r="A109" s="210">
        <v>1313322920</v>
      </c>
      <c r="B109" s="210" t="s">
        <v>377</v>
      </c>
      <c r="C109" s="219"/>
    </row>
    <row r="110" spans="1:8" x14ac:dyDescent="0.2">
      <c r="A110" s="210">
        <v>1313330920</v>
      </c>
      <c r="B110" s="210" t="s">
        <v>378</v>
      </c>
      <c r="C110" s="219">
        <v>201500</v>
      </c>
      <c r="D110" s="211">
        <v>201500</v>
      </c>
      <c r="E110" s="211">
        <v>262664.53999999998</v>
      </c>
      <c r="F110" s="211">
        <v>223208.18</v>
      </c>
      <c r="G110" s="211">
        <v>209017.9</v>
      </c>
      <c r="H110" s="211">
        <v>222082.9</v>
      </c>
    </row>
    <row r="111" spans="1:8" x14ac:dyDescent="0.2">
      <c r="A111" s="210">
        <v>1313700920</v>
      </c>
      <c r="B111" s="210" t="s">
        <v>379</v>
      </c>
      <c r="C111" s="219">
        <v>4500</v>
      </c>
      <c r="D111" s="211">
        <v>4500</v>
      </c>
      <c r="F111" s="211">
        <v>3606</v>
      </c>
      <c r="H111" s="211">
        <v>9413</v>
      </c>
    </row>
    <row r="112" spans="1:8" x14ac:dyDescent="0.2">
      <c r="A112" s="210">
        <v>1313704920</v>
      </c>
      <c r="B112" s="210" t="s">
        <v>380</v>
      </c>
      <c r="C112" s="219">
        <v>29900</v>
      </c>
      <c r="D112" s="211">
        <v>29900</v>
      </c>
      <c r="E112" s="211">
        <v>23273.25</v>
      </c>
      <c r="F112" s="211">
        <v>29910.799999999999</v>
      </c>
      <c r="G112" s="211">
        <v>32026.400000000001</v>
      </c>
      <c r="H112" s="211">
        <v>33909.410000000003</v>
      </c>
    </row>
    <row r="113" spans="1:8" x14ac:dyDescent="0.2">
      <c r="A113" s="210">
        <v>1313705920</v>
      </c>
      <c r="B113" s="210" t="s">
        <v>381</v>
      </c>
      <c r="C113" s="219">
        <v>101000</v>
      </c>
      <c r="D113" s="211">
        <v>101000</v>
      </c>
      <c r="E113" s="211">
        <v>73057.25</v>
      </c>
      <c r="F113" s="211">
        <v>101533</v>
      </c>
      <c r="G113" s="211">
        <v>100502.05</v>
      </c>
      <c r="H113" s="211">
        <v>106413.71</v>
      </c>
    </row>
    <row r="114" spans="1:8" x14ac:dyDescent="0.2">
      <c r="A114" s="210">
        <v>1315700700</v>
      </c>
      <c r="B114" s="210" t="s">
        <v>290</v>
      </c>
      <c r="C114" s="219">
        <v>14200000</v>
      </c>
      <c r="D114" s="211">
        <v>14200000</v>
      </c>
      <c r="E114" s="211">
        <v>14200000</v>
      </c>
      <c r="F114" s="211">
        <v>14200000</v>
      </c>
      <c r="G114" s="211">
        <v>13999992</v>
      </c>
      <c r="H114" s="211">
        <v>14000000</v>
      </c>
    </row>
    <row r="115" spans="1:8" x14ac:dyDescent="0.2">
      <c r="A115" s="210">
        <v>1315701920</v>
      </c>
      <c r="B115" s="210" t="s">
        <v>1394</v>
      </c>
      <c r="C115" s="219"/>
    </row>
    <row r="116" spans="1:8" x14ac:dyDescent="0.2">
      <c r="A116" s="210">
        <v>1315777700</v>
      </c>
      <c r="B116" s="210" t="s">
        <v>291</v>
      </c>
      <c r="C116" s="219">
        <v>16000000</v>
      </c>
      <c r="D116" s="211">
        <v>16000000</v>
      </c>
      <c r="E116" s="211">
        <v>15999997</v>
      </c>
      <c r="F116" s="211">
        <v>15999997</v>
      </c>
      <c r="G116" s="211">
        <v>16099992</v>
      </c>
      <c r="H116" s="211">
        <v>15000000</v>
      </c>
    </row>
    <row r="117" spans="1:8" x14ac:dyDescent="0.2">
      <c r="A117" s="210">
        <v>1315788700</v>
      </c>
      <c r="B117" s="210" t="s">
        <v>292</v>
      </c>
      <c r="C117" s="219">
        <v>7000000</v>
      </c>
      <c r="D117" s="211">
        <v>7000000</v>
      </c>
      <c r="E117" s="211">
        <v>7000000</v>
      </c>
      <c r="F117" s="211">
        <v>7000000</v>
      </c>
      <c r="G117" s="211">
        <v>6999997</v>
      </c>
      <c r="H117" s="211">
        <v>7000000</v>
      </c>
    </row>
    <row r="118" spans="1:8" x14ac:dyDescent="0.2">
      <c r="A118" s="210">
        <v>1316800440</v>
      </c>
      <c r="B118" s="210" t="s">
        <v>1395</v>
      </c>
      <c r="C118" s="219"/>
    </row>
    <row r="119" spans="1:8" x14ac:dyDescent="0.2">
      <c r="A119" s="210">
        <v>1316800790</v>
      </c>
      <c r="B119" s="210" t="s">
        <v>1396</v>
      </c>
      <c r="C119" s="219"/>
    </row>
    <row r="120" spans="1:8" x14ac:dyDescent="0.2">
      <c r="A120" s="210">
        <v>1317100920</v>
      </c>
      <c r="B120" s="210" t="s">
        <v>382</v>
      </c>
      <c r="C120" s="219">
        <v>180000</v>
      </c>
      <c r="D120" s="211">
        <v>176000</v>
      </c>
      <c r="E120" s="211">
        <v>138361.16</v>
      </c>
      <c r="F120" s="211">
        <v>177645.39</v>
      </c>
      <c r="G120" s="211">
        <v>175921.05</v>
      </c>
      <c r="H120" s="211">
        <v>175511.09</v>
      </c>
    </row>
    <row r="121" spans="1:8" x14ac:dyDescent="0.2">
      <c r="A121" s="210">
        <v>1317100990</v>
      </c>
      <c r="B121" s="210" t="s">
        <v>493</v>
      </c>
      <c r="C121" s="219">
        <f>3955*(8.4+54*0.64)+4061*(8.4+54*0.64)+3838*(8.4+54*0.64)+1780*(8.4+54*0.64)+4035*(8.4+54*0.64)+3413*(8.4+54*0.64)+3872*(8.4+54*0.64)+2161*(8.4+54*0.64)+3924*(8.4+54*0.64)+3409*(8.4+54*0.64)</f>
        <v>1479886.08</v>
      </c>
      <c r="D121" s="211">
        <v>2309509</v>
      </c>
      <c r="E121" s="211">
        <v>1897359.58</v>
      </c>
      <c r="F121" s="211">
        <v>1747700.49</v>
      </c>
      <c r="G121" s="211">
        <v>1267124.05</v>
      </c>
      <c r="H121" s="211">
        <v>922320.17</v>
      </c>
    </row>
    <row r="122" spans="1:8" x14ac:dyDescent="0.2">
      <c r="A122" s="210">
        <v>1317200920</v>
      </c>
      <c r="B122" s="210" t="s">
        <v>383</v>
      </c>
      <c r="C122" s="219">
        <v>45800</v>
      </c>
      <c r="D122" s="211">
        <v>45800</v>
      </c>
      <c r="E122" s="211">
        <v>47962</v>
      </c>
      <c r="G122" s="211">
        <v>51881.2</v>
      </c>
      <c r="H122" s="211">
        <v>48300</v>
      </c>
    </row>
    <row r="123" spans="1:8" x14ac:dyDescent="0.2">
      <c r="A123" s="210">
        <v>1317300920</v>
      </c>
      <c r="B123" s="210" t="s">
        <v>384</v>
      </c>
      <c r="C123" s="219">
        <f>1892814+28979+31421</f>
        <v>1953214</v>
      </c>
      <c r="D123" s="211">
        <v>1864000</v>
      </c>
      <c r="E123" s="211">
        <v>1479046.9</v>
      </c>
      <c r="F123" s="211">
        <v>1865959.98</v>
      </c>
      <c r="G123" s="211">
        <v>1760615.39</v>
      </c>
      <c r="H123" s="211">
        <v>1683045.31</v>
      </c>
    </row>
    <row r="124" spans="1:8" x14ac:dyDescent="0.2">
      <c r="A124" s="210">
        <v>1317301920</v>
      </c>
      <c r="B124" s="210" t="s">
        <v>385</v>
      </c>
      <c r="C124" s="219">
        <v>60000</v>
      </c>
      <c r="D124" s="211">
        <v>60000</v>
      </c>
      <c r="E124" s="211">
        <v>68390.19</v>
      </c>
      <c r="F124" s="211">
        <v>61725.599999999999</v>
      </c>
      <c r="G124" s="211">
        <v>55719.64</v>
      </c>
      <c r="H124" s="211">
        <v>58629.599999999999</v>
      </c>
    </row>
    <row r="125" spans="1:8" x14ac:dyDescent="0.2">
      <c r="A125" s="210">
        <v>1317500410</v>
      </c>
      <c r="B125" s="210" t="s">
        <v>293</v>
      </c>
      <c r="C125" s="219">
        <v>350000</v>
      </c>
      <c r="D125" s="211">
        <v>350000</v>
      </c>
      <c r="E125" s="211">
        <v>146515</v>
      </c>
      <c r="F125" s="211">
        <v>361988</v>
      </c>
      <c r="G125" s="211">
        <v>223845</v>
      </c>
      <c r="H125" s="211">
        <v>198109</v>
      </c>
    </row>
    <row r="126" spans="1:8" x14ac:dyDescent="0.2">
      <c r="A126" s="210">
        <v>1317600420</v>
      </c>
      <c r="B126" s="210" t="s">
        <v>1185</v>
      </c>
      <c r="C126" s="219"/>
    </row>
    <row r="127" spans="1:8" x14ac:dyDescent="0.2">
      <c r="A127" s="210">
        <v>1317600920</v>
      </c>
      <c r="B127" s="210" t="s">
        <v>1397</v>
      </c>
      <c r="C127" s="219">
        <v>1457443</v>
      </c>
      <c r="D127" s="211">
        <v>1457443</v>
      </c>
      <c r="E127" s="211">
        <v>271673.24</v>
      </c>
      <c r="F127" s="211">
        <v>1057047.79</v>
      </c>
      <c r="G127" s="211">
        <v>1610859.4</v>
      </c>
      <c r="H127" s="211">
        <v>1084536.07</v>
      </c>
    </row>
    <row r="128" spans="1:8" x14ac:dyDescent="0.2">
      <c r="A128" s="210">
        <v>1317700920</v>
      </c>
      <c r="B128" s="210" t="s">
        <v>387</v>
      </c>
      <c r="C128" s="219">
        <v>235000</v>
      </c>
      <c r="D128" s="211">
        <v>125000</v>
      </c>
      <c r="E128" s="211">
        <v>92324.68</v>
      </c>
      <c r="F128" s="211">
        <v>228903.85</v>
      </c>
      <c r="G128" s="211">
        <v>258680.41</v>
      </c>
      <c r="H128" s="211">
        <v>263434.44</v>
      </c>
    </row>
    <row r="129" spans="1:8" x14ac:dyDescent="0.2">
      <c r="A129" s="210">
        <v>1317701920</v>
      </c>
      <c r="B129" s="210" t="s">
        <v>388</v>
      </c>
      <c r="C129" s="219">
        <v>475875</v>
      </c>
      <c r="D129" s="211">
        <v>465000</v>
      </c>
      <c r="E129" s="211">
        <v>368086.8</v>
      </c>
      <c r="F129" s="211">
        <v>465215.46</v>
      </c>
      <c r="G129" s="211">
        <v>458422.31</v>
      </c>
      <c r="H129" s="211">
        <v>420004.68</v>
      </c>
    </row>
    <row r="130" spans="1:8" x14ac:dyDescent="0.2">
      <c r="A130" s="210">
        <v>1317702920</v>
      </c>
      <c r="B130" s="210" t="s">
        <v>389</v>
      </c>
      <c r="C130" s="219">
        <v>55000</v>
      </c>
      <c r="D130" s="211">
        <v>55000</v>
      </c>
      <c r="E130" s="211">
        <v>918.75</v>
      </c>
      <c r="F130" s="211">
        <v>55123.7</v>
      </c>
      <c r="G130" s="211">
        <v>27563.51</v>
      </c>
      <c r="H130" s="211">
        <v>26644.04</v>
      </c>
    </row>
    <row r="131" spans="1:8" x14ac:dyDescent="0.2">
      <c r="A131" s="210">
        <v>1317800440</v>
      </c>
      <c r="B131" s="210" t="s">
        <v>1364</v>
      </c>
      <c r="C131" s="219"/>
      <c r="F131" s="211">
        <v>3200</v>
      </c>
    </row>
    <row r="132" spans="1:8" x14ac:dyDescent="0.2">
      <c r="A132" s="210">
        <v>1317800920</v>
      </c>
      <c r="B132" s="210" t="s">
        <v>390</v>
      </c>
      <c r="C132" s="219">
        <v>5550000</v>
      </c>
      <c r="D132" s="211">
        <v>5550000</v>
      </c>
      <c r="E132" s="211">
        <v>4303787.12</v>
      </c>
      <c r="F132" s="211">
        <v>6091848.4500000002</v>
      </c>
      <c r="G132" s="211">
        <v>6413712.4800000004</v>
      </c>
      <c r="H132" s="211">
        <v>5685197.9699999997</v>
      </c>
    </row>
    <row r="133" spans="1:8" x14ac:dyDescent="0.2">
      <c r="A133" s="210">
        <v>1317801920</v>
      </c>
      <c r="B133" s="210" t="s">
        <v>391</v>
      </c>
      <c r="C133" s="219">
        <v>2036160</v>
      </c>
      <c r="D133" s="211">
        <v>1800000</v>
      </c>
      <c r="E133" s="211">
        <v>1583474.92</v>
      </c>
      <c r="F133" s="211">
        <v>1813240.5</v>
      </c>
      <c r="G133" s="211">
        <v>1391851.44</v>
      </c>
      <c r="H133" s="211">
        <v>1394733.12</v>
      </c>
    </row>
    <row r="134" spans="1:8" x14ac:dyDescent="0.2">
      <c r="A134" s="210">
        <v>1317900790</v>
      </c>
      <c r="B134" s="210" t="s">
        <v>1155</v>
      </c>
      <c r="C134" s="219">
        <v>36667</v>
      </c>
      <c r="D134" s="211">
        <v>36667</v>
      </c>
      <c r="E134" s="211">
        <v>22581</v>
      </c>
      <c r="F134" s="211">
        <v>40000</v>
      </c>
      <c r="G134" s="211">
        <v>20000</v>
      </c>
      <c r="H134" s="211">
        <v>60000</v>
      </c>
    </row>
    <row r="135" spans="1:8" x14ac:dyDescent="0.2">
      <c r="A135" s="210">
        <v>1317900950</v>
      </c>
      <c r="B135" s="210" t="s">
        <v>1398</v>
      </c>
      <c r="C135" s="219"/>
    </row>
    <row r="136" spans="1:8" x14ac:dyDescent="0.2">
      <c r="A136" s="210">
        <v>1317904920</v>
      </c>
      <c r="B136" s="210" t="s">
        <v>392</v>
      </c>
      <c r="C136" s="219">
        <v>105000</v>
      </c>
      <c r="D136" s="211">
        <v>105000</v>
      </c>
      <c r="E136" s="211">
        <v>85068.32</v>
      </c>
      <c r="F136" s="211">
        <v>106238.06</v>
      </c>
      <c r="G136" s="211">
        <v>104021.71</v>
      </c>
      <c r="H136" s="211">
        <v>103760.94</v>
      </c>
    </row>
    <row r="137" spans="1:8" x14ac:dyDescent="0.2">
      <c r="A137" s="210">
        <v>1317905920</v>
      </c>
      <c r="B137" s="210" t="s">
        <v>393</v>
      </c>
      <c r="C137" s="219">
        <v>52000</v>
      </c>
      <c r="D137" s="211">
        <v>52000</v>
      </c>
      <c r="E137" s="211">
        <v>42343.95</v>
      </c>
      <c r="F137" s="211">
        <v>52858.57</v>
      </c>
      <c r="G137" s="211">
        <v>51762.59</v>
      </c>
      <c r="H137" s="211">
        <v>51633.62</v>
      </c>
    </row>
    <row r="138" spans="1:8" x14ac:dyDescent="0.2">
      <c r="A138" s="210">
        <v>1317910441</v>
      </c>
      <c r="B138" s="210" t="s">
        <v>1399</v>
      </c>
      <c r="C138" s="219"/>
    </row>
    <row r="139" spans="1:8" x14ac:dyDescent="0.2">
      <c r="A139" s="210">
        <v>1317922920</v>
      </c>
      <c r="B139" s="210" t="s">
        <v>394</v>
      </c>
      <c r="C139" s="219">
        <v>26271</v>
      </c>
      <c r="D139" s="211">
        <v>26271</v>
      </c>
      <c r="F139" s="211">
        <v>31136</v>
      </c>
      <c r="G139" s="211">
        <v>31758.5</v>
      </c>
      <c r="H139" s="211">
        <v>29190</v>
      </c>
    </row>
    <row r="140" spans="1:8" x14ac:dyDescent="0.2">
      <c r="A140" s="210">
        <v>1317950790</v>
      </c>
      <c r="B140" s="210" t="s">
        <v>294</v>
      </c>
      <c r="C140" s="219">
        <v>513900</v>
      </c>
      <c r="D140" s="211">
        <v>513900</v>
      </c>
      <c r="E140" s="211">
        <v>371845</v>
      </c>
      <c r="F140" s="211">
        <v>389063</v>
      </c>
      <c r="G140" s="211">
        <v>181839</v>
      </c>
      <c r="H140" s="211">
        <v>380588</v>
      </c>
    </row>
    <row r="141" spans="1:8" x14ac:dyDescent="0.2">
      <c r="A141" s="210">
        <v>1317950920</v>
      </c>
      <c r="B141" s="210" t="s">
        <v>1186</v>
      </c>
      <c r="C141" s="219"/>
      <c r="G141" s="211">
        <v>387880</v>
      </c>
    </row>
    <row r="142" spans="1:8" x14ac:dyDescent="0.2">
      <c r="A142" s="210">
        <v>1317951920</v>
      </c>
      <c r="B142" s="210" t="s">
        <v>395</v>
      </c>
      <c r="C142" s="219">
        <v>90000</v>
      </c>
      <c r="D142" s="211">
        <v>90000</v>
      </c>
      <c r="E142" s="211">
        <v>83333.36</v>
      </c>
      <c r="F142" s="211">
        <v>103333.32</v>
      </c>
      <c r="G142" s="211">
        <v>3333.32</v>
      </c>
      <c r="H142" s="211">
        <v>90000</v>
      </c>
    </row>
    <row r="143" spans="1:8" x14ac:dyDescent="0.2">
      <c r="A143" s="210">
        <v>1317952920</v>
      </c>
      <c r="B143" s="210" t="s">
        <v>1149</v>
      </c>
      <c r="C143" s="219">
        <v>120320</v>
      </c>
      <c r="D143" s="211">
        <v>400000</v>
      </c>
      <c r="G143" s="211">
        <v>278453</v>
      </c>
    </row>
    <row r="144" spans="1:8" x14ac:dyDescent="0.2">
      <c r="A144" s="210">
        <v>1317960920</v>
      </c>
      <c r="B144" s="210" t="s">
        <v>397</v>
      </c>
      <c r="C144" s="219">
        <v>350000</v>
      </c>
      <c r="D144" s="211">
        <v>350000</v>
      </c>
      <c r="E144" s="211">
        <v>299149</v>
      </c>
      <c r="F144" s="211">
        <v>704</v>
      </c>
      <c r="G144" s="211">
        <v>293112</v>
      </c>
      <c r="H144" s="211">
        <v>297498.8</v>
      </c>
    </row>
    <row r="145" spans="1:8" x14ac:dyDescent="0.2">
      <c r="A145" s="210">
        <v>1319999410</v>
      </c>
      <c r="B145" s="210" t="s">
        <v>1187</v>
      </c>
      <c r="C145" s="219"/>
    </row>
    <row r="146" spans="1:8" x14ac:dyDescent="0.2">
      <c r="A146" s="210">
        <v>1319999920</v>
      </c>
      <c r="B146" s="210" t="s">
        <v>398</v>
      </c>
      <c r="C146" s="219"/>
    </row>
    <row r="147" spans="1:8" x14ac:dyDescent="0.2">
      <c r="A147" s="210">
        <v>1322000310</v>
      </c>
      <c r="B147" s="210" t="s">
        <v>1400</v>
      </c>
      <c r="C147" s="219"/>
    </row>
    <row r="148" spans="1:8" x14ac:dyDescent="0.2">
      <c r="A148" s="210">
        <v>1322000410</v>
      </c>
      <c r="B148" s="210" t="s">
        <v>334</v>
      </c>
      <c r="C148" s="219">
        <v>330000</v>
      </c>
      <c r="D148" s="211">
        <v>350000</v>
      </c>
      <c r="F148" s="211">
        <v>307030</v>
      </c>
      <c r="G148" s="211">
        <v>342189</v>
      </c>
      <c r="H148" s="211">
        <v>339556</v>
      </c>
    </row>
    <row r="149" spans="1:8" x14ac:dyDescent="0.2">
      <c r="A149" s="210">
        <v>1322000411</v>
      </c>
      <c r="B149" s="210" t="s">
        <v>335</v>
      </c>
      <c r="C149" s="219">
        <v>120000</v>
      </c>
      <c r="D149" s="211">
        <v>150000</v>
      </c>
      <c r="E149" s="211">
        <v>5000</v>
      </c>
      <c r="F149" s="211">
        <v>108896</v>
      </c>
      <c r="G149" s="211">
        <v>162300</v>
      </c>
      <c r="H149" s="211">
        <v>87209.600000000006</v>
      </c>
    </row>
    <row r="150" spans="1:8" x14ac:dyDescent="0.2">
      <c r="A150" s="210">
        <v>1322000740</v>
      </c>
      <c r="B150" s="210" t="s">
        <v>336</v>
      </c>
      <c r="C150" s="219">
        <v>100000</v>
      </c>
      <c r="D150" s="211">
        <v>100000</v>
      </c>
      <c r="F150" s="211">
        <v>95000</v>
      </c>
      <c r="G150" s="211">
        <v>100000</v>
      </c>
      <c r="H150" s="211">
        <v>100000</v>
      </c>
    </row>
    <row r="151" spans="1:8" x14ac:dyDescent="0.2">
      <c r="A151" s="210">
        <v>1322000790</v>
      </c>
      <c r="B151" s="210" t="s">
        <v>337</v>
      </c>
      <c r="C151" s="219">
        <v>205000</v>
      </c>
      <c r="D151" s="211">
        <v>170000</v>
      </c>
      <c r="F151" s="211">
        <v>170000</v>
      </c>
      <c r="G151" s="211">
        <v>170000</v>
      </c>
      <c r="H151" s="211">
        <v>240000</v>
      </c>
    </row>
    <row r="152" spans="1:8" x14ac:dyDescent="0.2">
      <c r="A152" s="210">
        <v>1322000920</v>
      </c>
      <c r="B152" s="210" t="s">
        <v>494</v>
      </c>
      <c r="C152" s="219">
        <f>1600000+123000</f>
        <v>1723000</v>
      </c>
      <c r="D152" s="211">
        <v>1700000</v>
      </c>
      <c r="E152" s="211">
        <v>776961</v>
      </c>
      <c r="F152" s="211">
        <v>2053922</v>
      </c>
      <c r="G152" s="211">
        <v>1575000</v>
      </c>
      <c r="H152" s="211">
        <v>1694758</v>
      </c>
    </row>
    <row r="153" spans="1:8" x14ac:dyDescent="0.2">
      <c r="A153" s="210">
        <v>1322100920</v>
      </c>
      <c r="B153" s="210" t="s">
        <v>1645</v>
      </c>
      <c r="C153" s="219"/>
    </row>
    <row r="154" spans="1:8" x14ac:dyDescent="0.2">
      <c r="A154" s="210">
        <v>1322000990</v>
      </c>
      <c r="B154" s="210" t="s">
        <v>495</v>
      </c>
      <c r="C154" s="219"/>
    </row>
    <row r="155" spans="1:8" x14ac:dyDescent="0.2">
      <c r="A155" s="210">
        <v>1323000420</v>
      </c>
      <c r="B155" s="210" t="s">
        <v>338</v>
      </c>
      <c r="C155" s="219">
        <v>20000</v>
      </c>
      <c r="D155" s="211">
        <v>20000</v>
      </c>
      <c r="E155" s="211">
        <v>13949</v>
      </c>
      <c r="F155" s="211">
        <v>20322</v>
      </c>
      <c r="G155" s="211">
        <v>17994</v>
      </c>
      <c r="H155" s="211">
        <v>23328</v>
      </c>
    </row>
    <row r="156" spans="1:8" x14ac:dyDescent="0.2">
      <c r="A156" s="210">
        <v>1323000990</v>
      </c>
      <c r="B156" s="210" t="s">
        <v>1401</v>
      </c>
      <c r="C156" s="219"/>
    </row>
    <row r="157" spans="1:8" x14ac:dyDescent="0.2">
      <c r="A157" s="210">
        <v>1325200220</v>
      </c>
      <c r="B157" s="210" t="s">
        <v>339</v>
      </c>
      <c r="C157" s="219">
        <f>1350000-80000</f>
        <v>1270000</v>
      </c>
      <c r="D157" s="211">
        <v>1350000</v>
      </c>
      <c r="E157" s="211">
        <v>866667.87</v>
      </c>
      <c r="F157" s="211">
        <v>1321973.27</v>
      </c>
      <c r="G157" s="211">
        <v>1305778.1599999999</v>
      </c>
      <c r="H157" s="211">
        <v>1326309.99</v>
      </c>
    </row>
    <row r="158" spans="1:8" x14ac:dyDescent="0.2">
      <c r="A158" s="210">
        <v>1325200221</v>
      </c>
      <c r="B158" s="210" t="s">
        <v>1590</v>
      </c>
      <c r="C158" s="219"/>
    </row>
    <row r="159" spans="1:8" x14ac:dyDescent="0.2">
      <c r="A159" s="210">
        <v>1325200410</v>
      </c>
      <c r="B159" s="210" t="s">
        <v>340</v>
      </c>
      <c r="C159" s="219">
        <f>10000</f>
        <v>10000</v>
      </c>
      <c r="D159" s="211">
        <v>30000</v>
      </c>
      <c r="E159" s="211">
        <v>4700</v>
      </c>
      <c r="F159" s="211">
        <v>13190</v>
      </c>
      <c r="G159" s="211">
        <v>17260</v>
      </c>
      <c r="H159" s="211">
        <v>52740</v>
      </c>
    </row>
    <row r="160" spans="1:8" x14ac:dyDescent="0.2">
      <c r="A160" s="210">
        <v>1325200411</v>
      </c>
      <c r="B160" s="215" t="s">
        <v>1641</v>
      </c>
      <c r="C160" s="219">
        <v>40000</v>
      </c>
    </row>
    <row r="161" spans="1:8" x14ac:dyDescent="0.2">
      <c r="A161" s="210">
        <v>1325200700</v>
      </c>
      <c r="B161" s="210" t="s">
        <v>341</v>
      </c>
      <c r="C161" s="219">
        <v>80000</v>
      </c>
      <c r="D161" s="211">
        <v>80000</v>
      </c>
      <c r="E161" s="211">
        <v>120000</v>
      </c>
      <c r="F161" s="211">
        <v>40000</v>
      </c>
      <c r="G161" s="211">
        <v>80000</v>
      </c>
      <c r="H161" s="211">
        <v>254302</v>
      </c>
    </row>
    <row r="162" spans="1:8" x14ac:dyDescent="0.2">
      <c r="A162" s="210">
        <v>1325200920</v>
      </c>
      <c r="B162" s="210" t="s">
        <v>496</v>
      </c>
      <c r="C162" s="219">
        <f>750156</f>
        <v>750156</v>
      </c>
      <c r="D162" s="211">
        <v>600000</v>
      </c>
      <c r="E162" s="211">
        <v>142873.54</v>
      </c>
      <c r="F162" s="211">
        <v>629072.28</v>
      </c>
      <c r="G162" s="211">
        <v>629680.1</v>
      </c>
      <c r="H162" s="211">
        <v>622033.91</v>
      </c>
    </row>
    <row r="163" spans="1:8" x14ac:dyDescent="0.2">
      <c r="A163" s="210">
        <v>1326200420</v>
      </c>
      <c r="B163" s="210" t="s">
        <v>1189</v>
      </c>
      <c r="C163" s="219"/>
    </row>
    <row r="164" spans="1:8" x14ac:dyDescent="0.2">
      <c r="A164" s="210">
        <v>1329300440</v>
      </c>
      <c r="B164" s="210" t="s">
        <v>1402</v>
      </c>
      <c r="C164" s="219"/>
    </row>
    <row r="165" spans="1:8" x14ac:dyDescent="0.2">
      <c r="A165" s="210">
        <v>1329300920</v>
      </c>
      <c r="B165" s="210" t="s">
        <v>497</v>
      </c>
      <c r="C165" s="219">
        <f>160000-66000</f>
        <v>94000</v>
      </c>
      <c r="D165" s="211">
        <v>110000</v>
      </c>
      <c r="E165" s="211">
        <v>52496</v>
      </c>
      <c r="F165" s="211">
        <v>140076</v>
      </c>
      <c r="G165" s="211">
        <v>91750</v>
      </c>
      <c r="H165" s="211">
        <v>81468</v>
      </c>
    </row>
    <row r="166" spans="1:8" x14ac:dyDescent="0.2">
      <c r="A166" s="210">
        <v>1329300921</v>
      </c>
      <c r="B166" s="210" t="s">
        <v>1537</v>
      </c>
      <c r="C166" s="219"/>
      <c r="F166" s="211">
        <v>123921</v>
      </c>
    </row>
    <row r="167" spans="1:8" x14ac:dyDescent="0.2">
      <c r="A167" s="210">
        <v>1340000440</v>
      </c>
      <c r="B167" s="210" t="s">
        <v>1160</v>
      </c>
      <c r="C167" s="219"/>
    </row>
    <row r="168" spans="1:8" x14ac:dyDescent="0.2">
      <c r="A168" s="210">
        <v>1340000920</v>
      </c>
      <c r="B168" s="210" t="s">
        <v>1161</v>
      </c>
      <c r="C168" s="219"/>
    </row>
    <row r="169" spans="1:8" x14ac:dyDescent="0.2">
      <c r="A169" s="210">
        <v>1341000420</v>
      </c>
      <c r="B169" s="210" t="s">
        <v>297</v>
      </c>
      <c r="C169" s="219"/>
    </row>
    <row r="170" spans="1:8" x14ac:dyDescent="0.2">
      <c r="A170" s="210">
        <v>1341000690</v>
      </c>
      <c r="B170" s="210" t="s">
        <v>1536</v>
      </c>
      <c r="C170" s="219"/>
      <c r="G170" s="211">
        <v>9000</v>
      </c>
    </row>
    <row r="171" spans="1:8" x14ac:dyDescent="0.2">
      <c r="A171" s="210">
        <v>1341000930</v>
      </c>
      <c r="B171" s="210" t="s">
        <v>401</v>
      </c>
      <c r="C171" s="220">
        <v>6240000</v>
      </c>
      <c r="D171" s="211">
        <v>6165000</v>
      </c>
      <c r="E171" s="211">
        <v>4997398</v>
      </c>
      <c r="F171" s="211">
        <v>5692885</v>
      </c>
      <c r="G171" s="211">
        <v>5557285</v>
      </c>
      <c r="H171" s="211">
        <v>4571320</v>
      </c>
    </row>
    <row r="172" spans="1:8" x14ac:dyDescent="0.2">
      <c r="A172" s="210">
        <v>1341000931</v>
      </c>
      <c r="B172" s="210" t="s">
        <v>1403</v>
      </c>
      <c r="C172" s="219"/>
    </row>
    <row r="173" spans="1:8" x14ac:dyDescent="0.2">
      <c r="A173" s="210">
        <v>1341000933</v>
      </c>
      <c r="B173" s="210" t="s">
        <v>402</v>
      </c>
      <c r="C173" s="219">
        <v>15000</v>
      </c>
      <c r="D173" s="211">
        <v>15000</v>
      </c>
    </row>
    <row r="174" spans="1:8" x14ac:dyDescent="0.2">
      <c r="A174" s="210">
        <v>1341000934</v>
      </c>
      <c r="B174" s="210" t="s">
        <v>403</v>
      </c>
      <c r="C174" s="219">
        <v>106800</v>
      </c>
      <c r="D174" s="211">
        <v>103200</v>
      </c>
      <c r="E174" s="211">
        <v>78442</v>
      </c>
      <c r="F174" s="211">
        <v>103403</v>
      </c>
      <c r="G174" s="211">
        <v>102485</v>
      </c>
      <c r="H174" s="211">
        <v>107675</v>
      </c>
    </row>
    <row r="175" spans="1:8" x14ac:dyDescent="0.2">
      <c r="A175" s="210">
        <v>1341000935</v>
      </c>
      <c r="B175" s="210" t="s">
        <v>1404</v>
      </c>
      <c r="C175" s="219">
        <v>22500</v>
      </c>
    </row>
    <row r="176" spans="1:8" x14ac:dyDescent="0.2">
      <c r="A176" s="210">
        <v>1341000936</v>
      </c>
      <c r="B176" s="210" t="s">
        <v>404</v>
      </c>
      <c r="C176" s="219">
        <v>19860</v>
      </c>
      <c r="D176" s="211">
        <v>22500</v>
      </c>
      <c r="E176" s="211">
        <v>10780</v>
      </c>
      <c r="F176" s="211">
        <v>21525</v>
      </c>
      <c r="G176" s="211">
        <v>6068</v>
      </c>
      <c r="H176" s="211">
        <v>20000</v>
      </c>
    </row>
    <row r="177" spans="1:8" x14ac:dyDescent="0.2">
      <c r="A177" s="210">
        <v>1341000937</v>
      </c>
      <c r="B177" s="210" t="s">
        <v>405</v>
      </c>
      <c r="C177" s="219">
        <v>20000</v>
      </c>
      <c r="D177" s="211">
        <v>20000</v>
      </c>
      <c r="E177" s="211">
        <v>10832</v>
      </c>
      <c r="F177" s="211">
        <v>15371</v>
      </c>
      <c r="G177" s="211">
        <v>25897</v>
      </c>
      <c r="H177" s="211">
        <v>14315</v>
      </c>
    </row>
    <row r="178" spans="1:8" x14ac:dyDescent="0.2">
      <c r="A178" s="210">
        <v>1341000938</v>
      </c>
      <c r="B178" s="210" t="s">
        <v>1487</v>
      </c>
      <c r="C178" s="219">
        <v>228123</v>
      </c>
      <c r="E178" s="211">
        <v>161353</v>
      </c>
      <c r="F178" s="211">
        <v>136206</v>
      </c>
    </row>
    <row r="179" spans="1:8" x14ac:dyDescent="0.2">
      <c r="A179" s="210">
        <v>1341000939</v>
      </c>
      <c r="B179" s="210" t="s">
        <v>1591</v>
      </c>
      <c r="C179" s="219"/>
      <c r="E179" s="211">
        <v>-4720</v>
      </c>
      <c r="F179" s="211">
        <v>42480</v>
      </c>
    </row>
    <row r="180" spans="1:8" x14ac:dyDescent="0.2">
      <c r="A180" s="210">
        <v>1342200930</v>
      </c>
      <c r="B180" s="210" t="s">
        <v>406</v>
      </c>
      <c r="C180" s="219">
        <v>105000</v>
      </c>
      <c r="D180" s="211">
        <v>109500</v>
      </c>
      <c r="E180" s="211">
        <v>85826</v>
      </c>
      <c r="F180" s="211">
        <v>121073</v>
      </c>
      <c r="G180" s="211">
        <v>156132</v>
      </c>
      <c r="H180" s="211">
        <v>112100</v>
      </c>
    </row>
    <row r="181" spans="1:8" x14ac:dyDescent="0.2">
      <c r="A181" s="210">
        <v>1342200931</v>
      </c>
      <c r="B181" s="210" t="s">
        <v>1252</v>
      </c>
      <c r="C181" s="219"/>
      <c r="G181" s="211">
        <v>5111</v>
      </c>
      <c r="H181" s="211">
        <v>9599</v>
      </c>
    </row>
    <row r="182" spans="1:8" x14ac:dyDescent="0.2">
      <c r="A182" s="210">
        <v>1342200932</v>
      </c>
      <c r="B182" s="210" t="s">
        <v>1112</v>
      </c>
      <c r="C182" s="219"/>
    </row>
    <row r="183" spans="1:8" x14ac:dyDescent="0.2">
      <c r="A183" s="210">
        <v>1342200933</v>
      </c>
      <c r="B183" s="210" t="s">
        <v>407</v>
      </c>
      <c r="C183" s="219">
        <v>112000</v>
      </c>
      <c r="D183" s="211">
        <v>116800</v>
      </c>
      <c r="E183" s="211">
        <v>80148</v>
      </c>
      <c r="F183" s="211">
        <v>131457</v>
      </c>
      <c r="G183" s="211">
        <v>123936</v>
      </c>
      <c r="H183" s="211">
        <v>114755</v>
      </c>
    </row>
    <row r="184" spans="1:8" x14ac:dyDescent="0.2">
      <c r="A184" s="210">
        <v>1342200934</v>
      </c>
      <c r="B184" s="210" t="s">
        <v>408</v>
      </c>
      <c r="C184" s="219">
        <v>20700</v>
      </c>
      <c r="D184" s="211">
        <v>20925</v>
      </c>
      <c r="E184" s="211">
        <v>6843</v>
      </c>
      <c r="F184" s="211">
        <v>14336</v>
      </c>
      <c r="G184" s="211">
        <v>13616</v>
      </c>
      <c r="H184" s="211">
        <v>49883</v>
      </c>
    </row>
    <row r="185" spans="1:8" x14ac:dyDescent="0.2">
      <c r="A185" s="210">
        <v>1342200935</v>
      </c>
      <c r="B185" s="210" t="s">
        <v>1405</v>
      </c>
      <c r="C185" s="219"/>
    </row>
    <row r="186" spans="1:8" x14ac:dyDescent="0.2">
      <c r="A186" s="210">
        <v>1342200936</v>
      </c>
      <c r="B186" s="210" t="s">
        <v>409</v>
      </c>
      <c r="C186" s="219">
        <v>142626</v>
      </c>
      <c r="D186" s="211">
        <v>42900</v>
      </c>
      <c r="E186" s="211">
        <v>154958</v>
      </c>
      <c r="F186" s="211">
        <v>-22279</v>
      </c>
      <c r="G186" s="211">
        <v>51593</v>
      </c>
      <c r="H186" s="211">
        <v>130085</v>
      </c>
    </row>
    <row r="187" spans="1:8" x14ac:dyDescent="0.2">
      <c r="A187" s="210">
        <v>1342200937</v>
      </c>
      <c r="B187" s="210" t="s">
        <v>1485</v>
      </c>
      <c r="C187" s="219"/>
      <c r="D187" s="211">
        <v>6573</v>
      </c>
      <c r="F187" s="211">
        <v>3286</v>
      </c>
    </row>
    <row r="188" spans="1:8" x14ac:dyDescent="0.2">
      <c r="A188" s="210">
        <v>1342200938</v>
      </c>
      <c r="B188" s="210" t="s">
        <v>1406</v>
      </c>
      <c r="C188" s="219"/>
      <c r="G188" s="211">
        <v>11799</v>
      </c>
    </row>
    <row r="189" spans="1:8" x14ac:dyDescent="0.2">
      <c r="A189" s="210">
        <v>1342200939</v>
      </c>
      <c r="B189" s="210" t="s">
        <v>93</v>
      </c>
      <c r="C189" s="219"/>
      <c r="G189" s="211">
        <v>5000</v>
      </c>
      <c r="H189" s="211">
        <v>5000</v>
      </c>
    </row>
    <row r="190" spans="1:8" x14ac:dyDescent="0.2">
      <c r="A190" s="210">
        <v>1342400420</v>
      </c>
      <c r="B190" s="210" t="s">
        <v>1407</v>
      </c>
      <c r="C190" s="219"/>
      <c r="E190" s="211">
        <v>400</v>
      </c>
    </row>
    <row r="191" spans="1:8" x14ac:dyDescent="0.2">
      <c r="A191" s="210">
        <v>1342400931</v>
      </c>
      <c r="B191" s="210" t="s">
        <v>410</v>
      </c>
      <c r="C191" s="219">
        <v>7200</v>
      </c>
      <c r="D191" s="211">
        <v>7200</v>
      </c>
    </row>
    <row r="192" spans="1:8" x14ac:dyDescent="0.2">
      <c r="A192" s="210">
        <v>1342400935</v>
      </c>
      <c r="B192" s="210" t="s">
        <v>411</v>
      </c>
      <c r="C192" s="219">
        <v>92250</v>
      </c>
      <c r="D192" s="211">
        <v>86201</v>
      </c>
      <c r="E192" s="211">
        <v>61402</v>
      </c>
      <c r="F192" s="211">
        <v>57941</v>
      </c>
      <c r="G192" s="211">
        <v>44503</v>
      </c>
      <c r="H192" s="211">
        <v>50654</v>
      </c>
    </row>
    <row r="193" spans="1:8" x14ac:dyDescent="0.2">
      <c r="A193" s="210">
        <v>1342400936</v>
      </c>
      <c r="B193" s="210" t="s">
        <v>1408</v>
      </c>
      <c r="C193" s="219"/>
    </row>
    <row r="194" spans="1:8" x14ac:dyDescent="0.2">
      <c r="A194" s="210">
        <v>1342400937</v>
      </c>
      <c r="B194" s="210" t="s">
        <v>1592</v>
      </c>
      <c r="C194" s="219"/>
      <c r="E194" s="211">
        <v>3697</v>
      </c>
    </row>
    <row r="195" spans="1:8" x14ac:dyDescent="0.2">
      <c r="A195" s="210">
        <v>1342401930</v>
      </c>
      <c r="B195" s="210" t="s">
        <v>412</v>
      </c>
      <c r="C195" s="219">
        <v>145800</v>
      </c>
      <c r="D195" s="211">
        <v>145800</v>
      </c>
      <c r="E195" s="211">
        <v>80000</v>
      </c>
      <c r="F195" s="211">
        <v>162000</v>
      </c>
      <c r="G195" s="211">
        <v>162000</v>
      </c>
      <c r="H195" s="211">
        <v>120000</v>
      </c>
    </row>
    <row r="196" spans="1:8" x14ac:dyDescent="0.2">
      <c r="A196" s="210">
        <v>1342401931</v>
      </c>
      <c r="B196" s="210" t="s">
        <v>1549</v>
      </c>
      <c r="C196" s="219">
        <v>207000</v>
      </c>
      <c r="D196" s="211">
        <v>230000</v>
      </c>
      <c r="E196" s="211">
        <v>214921</v>
      </c>
      <c r="F196" s="211">
        <v>22067</v>
      </c>
    </row>
    <row r="197" spans="1:8" x14ac:dyDescent="0.2">
      <c r="A197" s="210">
        <v>1343500420</v>
      </c>
      <c r="B197" s="210" t="s">
        <v>1191</v>
      </c>
      <c r="C197" s="219">
        <v>2000</v>
      </c>
      <c r="D197" s="211">
        <v>3000</v>
      </c>
      <c r="E197" s="211">
        <v>1081</v>
      </c>
      <c r="F197" s="211">
        <v>2459</v>
      </c>
      <c r="G197" s="211">
        <v>2929</v>
      </c>
      <c r="H197" s="211">
        <v>3560</v>
      </c>
    </row>
    <row r="198" spans="1:8" x14ac:dyDescent="0.2">
      <c r="A198" s="210">
        <v>1343500930</v>
      </c>
      <c r="B198" s="210" t="s">
        <v>57</v>
      </c>
      <c r="C198" s="219"/>
      <c r="G198" s="211">
        <v>80</v>
      </c>
    </row>
    <row r="199" spans="1:8" x14ac:dyDescent="0.2">
      <c r="A199" s="210">
        <v>1343500931</v>
      </c>
      <c r="B199" s="210" t="s">
        <v>413</v>
      </c>
      <c r="C199" s="219">
        <v>213976</v>
      </c>
      <c r="D199" s="211">
        <v>181584</v>
      </c>
      <c r="E199" s="211">
        <v>135000</v>
      </c>
      <c r="F199" s="211">
        <v>190577</v>
      </c>
      <c r="G199" s="211">
        <v>159747</v>
      </c>
      <c r="H199" s="211">
        <v>233037</v>
      </c>
    </row>
    <row r="200" spans="1:8" x14ac:dyDescent="0.2">
      <c r="A200" s="210">
        <v>1343500932</v>
      </c>
      <c r="B200" s="210" t="s">
        <v>414</v>
      </c>
      <c r="C200" s="219">
        <v>381684</v>
      </c>
      <c r="D200" s="211">
        <v>336364</v>
      </c>
      <c r="E200" s="211">
        <v>300745</v>
      </c>
      <c r="F200" s="211">
        <v>526920</v>
      </c>
      <c r="G200" s="211">
        <v>600878</v>
      </c>
      <c r="H200" s="211">
        <v>522973</v>
      </c>
    </row>
    <row r="201" spans="1:8" x14ac:dyDescent="0.2">
      <c r="A201" s="210">
        <v>1343500933</v>
      </c>
      <c r="B201" s="210" t="s">
        <v>1409</v>
      </c>
      <c r="C201" s="219"/>
    </row>
    <row r="202" spans="1:8" x14ac:dyDescent="0.2">
      <c r="A202" s="210">
        <v>1343500934</v>
      </c>
      <c r="B202" s="210" t="s">
        <v>415</v>
      </c>
      <c r="C202" s="219">
        <v>302292</v>
      </c>
      <c r="D202" s="211">
        <v>270000</v>
      </c>
      <c r="E202" s="211">
        <v>263788</v>
      </c>
      <c r="F202" s="211">
        <v>282606</v>
      </c>
      <c r="G202" s="211">
        <v>320471</v>
      </c>
      <c r="H202" s="211">
        <v>226749</v>
      </c>
    </row>
    <row r="203" spans="1:8" x14ac:dyDescent="0.2">
      <c r="A203" s="210">
        <v>1343500935</v>
      </c>
      <c r="B203" s="210" t="s">
        <v>416</v>
      </c>
      <c r="C203" s="219">
        <v>78750</v>
      </c>
      <c r="D203" s="211">
        <v>78750</v>
      </c>
      <c r="E203" s="211">
        <v>49519</v>
      </c>
      <c r="F203" s="211">
        <v>109539</v>
      </c>
      <c r="G203" s="211">
        <v>119425</v>
      </c>
      <c r="H203" s="211">
        <v>115186</v>
      </c>
    </row>
    <row r="204" spans="1:8" x14ac:dyDescent="0.2">
      <c r="A204" s="210">
        <v>1343500937</v>
      </c>
      <c r="B204" s="210" t="s">
        <v>417</v>
      </c>
      <c r="C204" s="219">
        <v>29000</v>
      </c>
      <c r="D204" s="211">
        <v>32400</v>
      </c>
      <c r="E204" s="211">
        <v>80250</v>
      </c>
      <c r="F204" s="211">
        <v>33178</v>
      </c>
      <c r="G204" s="211">
        <v>41972</v>
      </c>
      <c r="H204" s="211">
        <v>54357</v>
      </c>
    </row>
    <row r="205" spans="1:8" x14ac:dyDescent="0.2">
      <c r="A205" s="210">
        <v>1343500938</v>
      </c>
      <c r="B205" s="210" t="s">
        <v>1410</v>
      </c>
      <c r="C205" s="219"/>
    </row>
    <row r="206" spans="1:8" x14ac:dyDescent="0.2">
      <c r="A206" s="210">
        <v>1343500939</v>
      </c>
      <c r="B206" s="210" t="s">
        <v>418</v>
      </c>
      <c r="C206" s="219">
        <v>88500</v>
      </c>
      <c r="D206" s="211">
        <v>89010</v>
      </c>
      <c r="E206" s="211">
        <v>53321</v>
      </c>
      <c r="F206" s="211">
        <v>82136</v>
      </c>
      <c r="G206" s="211">
        <v>47213</v>
      </c>
      <c r="H206" s="211">
        <v>19104</v>
      </c>
    </row>
    <row r="207" spans="1:8" x14ac:dyDescent="0.2">
      <c r="A207" s="210">
        <v>1343500940</v>
      </c>
      <c r="B207" s="210" t="s">
        <v>58</v>
      </c>
      <c r="C207" s="219">
        <v>3750</v>
      </c>
      <c r="D207" s="211">
        <v>3750</v>
      </c>
      <c r="E207" s="211">
        <v>3750</v>
      </c>
      <c r="F207" s="211">
        <v>9000</v>
      </c>
      <c r="G207" s="211">
        <v>4290</v>
      </c>
    </row>
    <row r="208" spans="1:8" x14ac:dyDescent="0.2">
      <c r="A208" s="210">
        <v>1343500941</v>
      </c>
      <c r="B208" s="210" t="s">
        <v>1593</v>
      </c>
      <c r="C208" s="219">
        <v>3750</v>
      </c>
      <c r="D208" s="211">
        <v>3960</v>
      </c>
    </row>
    <row r="209" spans="1:8" x14ac:dyDescent="0.2">
      <c r="A209" s="210">
        <v>1343523410</v>
      </c>
      <c r="B209" s="210" t="s">
        <v>298</v>
      </c>
      <c r="C209" s="219">
        <f>127200+23000</f>
        <v>150200</v>
      </c>
      <c r="D209" s="211">
        <v>123000</v>
      </c>
      <c r="E209" s="211">
        <v>107337</v>
      </c>
      <c r="F209" s="211">
        <v>131781.5</v>
      </c>
      <c r="G209" s="211">
        <v>93913.7</v>
      </c>
      <c r="H209" s="211">
        <v>101508</v>
      </c>
    </row>
    <row r="210" spans="1:8" x14ac:dyDescent="0.2">
      <c r="A210" s="210">
        <v>1343800410</v>
      </c>
      <c r="B210" s="210" t="s">
        <v>1411</v>
      </c>
      <c r="C210" s="219"/>
    </row>
    <row r="211" spans="1:8" x14ac:dyDescent="0.2">
      <c r="A211" s="210">
        <v>1343800420</v>
      </c>
      <c r="B211" s="210" t="s">
        <v>299</v>
      </c>
      <c r="C211" s="219">
        <v>48000</v>
      </c>
      <c r="D211" s="211">
        <v>53000</v>
      </c>
      <c r="E211" s="211">
        <v>32338</v>
      </c>
      <c r="F211" s="211">
        <v>53904.6</v>
      </c>
      <c r="G211" s="211">
        <v>47206</v>
      </c>
      <c r="H211" s="211">
        <v>61429</v>
      </c>
    </row>
    <row r="212" spans="1:8" x14ac:dyDescent="0.2">
      <c r="A212" s="210">
        <v>1343800421</v>
      </c>
      <c r="B212" s="210" t="s">
        <v>1192</v>
      </c>
      <c r="C212" s="219">
        <v>0</v>
      </c>
      <c r="D212" s="211">
        <v>1500</v>
      </c>
      <c r="F212" s="211">
        <v>1246</v>
      </c>
      <c r="H212" s="211">
        <v>194</v>
      </c>
    </row>
    <row r="213" spans="1:8" x14ac:dyDescent="0.2">
      <c r="A213" s="210">
        <v>1343800930</v>
      </c>
      <c r="B213" s="210" t="s">
        <v>419</v>
      </c>
      <c r="C213" s="219">
        <v>3811844</v>
      </c>
      <c r="D213" s="211">
        <v>3863160</v>
      </c>
      <c r="E213" s="211">
        <v>2950000</v>
      </c>
      <c r="F213" s="211">
        <v>3676861</v>
      </c>
      <c r="G213" s="211">
        <v>3702964</v>
      </c>
      <c r="H213" s="211">
        <v>3202065</v>
      </c>
    </row>
    <row r="214" spans="1:8" x14ac:dyDescent="0.2">
      <c r="A214" s="210">
        <v>1343800935</v>
      </c>
      <c r="B214" s="210" t="s">
        <v>420</v>
      </c>
      <c r="C214" s="219">
        <v>302130</v>
      </c>
      <c r="D214" s="211">
        <v>172800</v>
      </c>
      <c r="E214" s="211">
        <v>162665</v>
      </c>
      <c r="F214" s="211">
        <v>230864</v>
      </c>
      <c r="G214" s="211">
        <v>216780</v>
      </c>
      <c r="H214" s="211">
        <v>256148</v>
      </c>
    </row>
    <row r="215" spans="1:8" x14ac:dyDescent="0.2">
      <c r="A215" s="210">
        <v>1343900930</v>
      </c>
      <c r="B215" s="210" t="s">
        <v>421</v>
      </c>
      <c r="C215" s="219">
        <v>2376000</v>
      </c>
      <c r="D215" s="211">
        <v>2169000</v>
      </c>
      <c r="E215" s="211">
        <v>1737636</v>
      </c>
      <c r="F215" s="211">
        <v>2096951</v>
      </c>
      <c r="G215" s="211">
        <v>2032492</v>
      </c>
      <c r="H215" s="211">
        <v>1747541</v>
      </c>
    </row>
    <row r="216" spans="1:8" x14ac:dyDescent="0.2">
      <c r="A216" s="210">
        <v>1344300420</v>
      </c>
      <c r="B216" s="210" t="s">
        <v>300</v>
      </c>
      <c r="C216" s="219">
        <v>545333</v>
      </c>
      <c r="D216" s="211">
        <v>530000</v>
      </c>
      <c r="E216" s="211">
        <v>358122.1</v>
      </c>
      <c r="F216" s="211">
        <v>551985.1</v>
      </c>
      <c r="G216" s="211">
        <v>621081.69999999995</v>
      </c>
      <c r="H216" s="211">
        <v>578611.80000000005</v>
      </c>
    </row>
    <row r="217" spans="1:8" x14ac:dyDescent="0.2">
      <c r="A217" s="210">
        <v>1344300421</v>
      </c>
      <c r="B217" s="210" t="s">
        <v>301</v>
      </c>
      <c r="C217" s="219">
        <v>31200</v>
      </c>
      <c r="D217" s="211">
        <v>36000</v>
      </c>
      <c r="E217" s="211">
        <v>24205</v>
      </c>
      <c r="F217" s="211">
        <v>33984</v>
      </c>
      <c r="G217" s="211">
        <v>11284.5</v>
      </c>
      <c r="H217" s="211">
        <v>10593</v>
      </c>
    </row>
    <row r="218" spans="1:8" x14ac:dyDescent="0.2">
      <c r="A218" s="210">
        <v>1344300930</v>
      </c>
      <c r="B218" s="210" t="s">
        <v>300</v>
      </c>
      <c r="C218" s="219">
        <v>3974930</v>
      </c>
      <c r="D218" s="211">
        <v>3486000</v>
      </c>
      <c r="E218" s="211">
        <v>2863767</v>
      </c>
      <c r="F218" s="211">
        <v>3597547</v>
      </c>
      <c r="G218" s="211">
        <v>3606581</v>
      </c>
      <c r="H218" s="211">
        <v>3443877</v>
      </c>
    </row>
    <row r="219" spans="1:8" x14ac:dyDescent="0.2">
      <c r="A219" s="210">
        <v>1344300932</v>
      </c>
      <c r="B219" s="210" t="s">
        <v>59</v>
      </c>
      <c r="C219" s="219"/>
      <c r="G219" s="211">
        <v>4859</v>
      </c>
      <c r="H219" s="211">
        <v>4703</v>
      </c>
    </row>
    <row r="220" spans="1:8" x14ac:dyDescent="0.2">
      <c r="A220" s="210">
        <v>1344324410</v>
      </c>
      <c r="B220" s="210" t="s">
        <v>1193</v>
      </c>
      <c r="C220" s="219"/>
      <c r="G220" s="211">
        <v>55</v>
      </c>
    </row>
    <row r="221" spans="1:8" x14ac:dyDescent="0.2">
      <c r="A221" s="210">
        <v>1344400931</v>
      </c>
      <c r="B221" s="210" t="s">
        <v>422</v>
      </c>
      <c r="C221" s="219">
        <v>100000</v>
      </c>
      <c r="D221" s="211">
        <v>127000</v>
      </c>
      <c r="E221" s="211">
        <v>59555</v>
      </c>
      <c r="F221" s="211">
        <v>96816</v>
      </c>
      <c r="G221" s="211">
        <v>147739</v>
      </c>
      <c r="H221" s="211">
        <v>104468</v>
      </c>
    </row>
    <row r="222" spans="1:8" x14ac:dyDescent="0.2">
      <c r="A222" s="210">
        <v>1344400932</v>
      </c>
      <c r="B222" s="210" t="s">
        <v>423</v>
      </c>
      <c r="C222" s="219">
        <v>132750</v>
      </c>
      <c r="D222" s="211">
        <v>140600</v>
      </c>
      <c r="E222" s="211">
        <v>74399</v>
      </c>
      <c r="F222" s="211">
        <v>132822</v>
      </c>
      <c r="G222" s="211">
        <v>108603</v>
      </c>
      <c r="H222" s="211">
        <v>91014</v>
      </c>
    </row>
    <row r="223" spans="1:8" x14ac:dyDescent="0.2">
      <c r="A223" s="210">
        <v>1344400933</v>
      </c>
      <c r="B223" s="210" t="s">
        <v>1194</v>
      </c>
      <c r="C223" s="219"/>
      <c r="F223" s="211">
        <v>-2725</v>
      </c>
      <c r="G223" s="211">
        <v>16075</v>
      </c>
    </row>
    <row r="224" spans="1:8" x14ac:dyDescent="0.2">
      <c r="A224" s="210">
        <v>1344400934</v>
      </c>
      <c r="B224" s="210" t="s">
        <v>424</v>
      </c>
      <c r="C224" s="219">
        <v>231600</v>
      </c>
      <c r="D224" s="211">
        <v>300000</v>
      </c>
      <c r="E224" s="211">
        <v>181666</v>
      </c>
      <c r="F224" s="211">
        <v>295793</v>
      </c>
      <c r="G224" s="211">
        <v>305495</v>
      </c>
      <c r="H224" s="211">
        <v>214030</v>
      </c>
    </row>
    <row r="225" spans="1:8" x14ac:dyDescent="0.2">
      <c r="A225" s="210">
        <v>1344400935</v>
      </c>
      <c r="B225" s="210" t="s">
        <v>425</v>
      </c>
      <c r="C225" s="219">
        <v>15000</v>
      </c>
      <c r="D225" s="211">
        <v>19500</v>
      </c>
      <c r="E225" s="211">
        <v>2325</v>
      </c>
      <c r="F225" s="211">
        <v>12825</v>
      </c>
      <c r="G225" s="211">
        <v>47127</v>
      </c>
      <c r="H225" s="211">
        <v>49428</v>
      </c>
    </row>
    <row r="226" spans="1:8" x14ac:dyDescent="0.2">
      <c r="A226" s="210">
        <v>1344400936</v>
      </c>
      <c r="B226" s="210" t="s">
        <v>60</v>
      </c>
      <c r="C226" s="219"/>
      <c r="F226" s="211">
        <v>-450</v>
      </c>
      <c r="G226" s="211">
        <v>8750</v>
      </c>
    </row>
    <row r="227" spans="1:8" x14ac:dyDescent="0.2">
      <c r="A227" s="210">
        <v>1344400939</v>
      </c>
      <c r="B227" s="210" t="s">
        <v>426</v>
      </c>
      <c r="C227" s="219">
        <v>216000</v>
      </c>
      <c r="D227" s="211">
        <v>213759</v>
      </c>
      <c r="E227" s="211">
        <v>145042</v>
      </c>
      <c r="F227" s="211">
        <v>205987</v>
      </c>
      <c r="G227" s="211">
        <v>186154</v>
      </c>
      <c r="H227" s="211">
        <v>216007</v>
      </c>
    </row>
    <row r="228" spans="1:8" x14ac:dyDescent="0.2">
      <c r="A228" s="210">
        <v>1344400940</v>
      </c>
      <c r="B228" s="210" t="s">
        <v>1482</v>
      </c>
      <c r="C228" s="219">
        <v>60000</v>
      </c>
      <c r="D228" s="211">
        <v>60000</v>
      </c>
      <c r="G228" s="211">
        <v>59176</v>
      </c>
    </row>
    <row r="229" spans="1:8" x14ac:dyDescent="0.2">
      <c r="A229" s="210">
        <v>1344400941</v>
      </c>
      <c r="B229" s="210" t="s">
        <v>1594</v>
      </c>
      <c r="C229" s="219"/>
      <c r="E229" s="211">
        <v>8748</v>
      </c>
      <c r="F229" s="211">
        <v>65441</v>
      </c>
    </row>
    <row r="230" spans="1:8" x14ac:dyDescent="0.2">
      <c r="A230" s="210">
        <v>1344500420</v>
      </c>
      <c r="B230" s="210" t="s">
        <v>302</v>
      </c>
      <c r="C230" s="219">
        <v>100000</v>
      </c>
      <c r="D230" s="211">
        <v>100000</v>
      </c>
      <c r="E230" s="211">
        <v>52779</v>
      </c>
      <c r="F230" s="211">
        <v>38022</v>
      </c>
      <c r="G230" s="211">
        <v>197714.51</v>
      </c>
      <c r="H230" s="211">
        <v>98571</v>
      </c>
    </row>
    <row r="231" spans="1:8" x14ac:dyDescent="0.2">
      <c r="A231" s="210">
        <v>1344500930</v>
      </c>
      <c r="B231" s="210" t="s">
        <v>427</v>
      </c>
      <c r="C231" s="219">
        <v>431424</v>
      </c>
      <c r="D231" s="211">
        <v>432000</v>
      </c>
      <c r="E231" s="211">
        <v>216077</v>
      </c>
      <c r="F231" s="211">
        <v>374317</v>
      </c>
      <c r="G231" s="211">
        <v>433383</v>
      </c>
      <c r="H231" s="211">
        <v>428850</v>
      </c>
    </row>
    <row r="232" spans="1:8" x14ac:dyDescent="0.2">
      <c r="A232" s="210">
        <v>1344500933</v>
      </c>
      <c r="B232" s="210" t="s">
        <v>1481</v>
      </c>
      <c r="C232" s="219"/>
      <c r="G232" s="211">
        <v>30547</v>
      </c>
      <c r="H232" s="211">
        <v>57738</v>
      </c>
    </row>
    <row r="233" spans="1:8" x14ac:dyDescent="0.2">
      <c r="A233" s="210">
        <v>1344500934</v>
      </c>
      <c r="B233" s="210" t="s">
        <v>1650</v>
      </c>
      <c r="C233" s="219">
        <v>170250</v>
      </c>
      <c r="D233" s="211">
        <v>183597</v>
      </c>
      <c r="E233" s="211">
        <v>129803</v>
      </c>
      <c r="F233" s="211">
        <v>196196</v>
      </c>
    </row>
    <row r="234" spans="1:8" x14ac:dyDescent="0.2">
      <c r="A234" s="210">
        <v>1344500935</v>
      </c>
      <c r="B234" s="210" t="s">
        <v>1649</v>
      </c>
      <c r="C234" s="219">
        <v>252000</v>
      </c>
    </row>
    <row r="235" spans="1:8" x14ac:dyDescent="0.2">
      <c r="A235" s="210">
        <v>1345100420</v>
      </c>
      <c r="B235" s="210" t="s">
        <v>1196</v>
      </c>
      <c r="C235" s="219">
        <v>5000</v>
      </c>
      <c r="D235" s="211">
        <v>2500</v>
      </c>
      <c r="E235" s="211">
        <v>4650</v>
      </c>
      <c r="F235" s="211">
        <v>3862.5</v>
      </c>
      <c r="G235" s="211">
        <v>529</v>
      </c>
    </row>
    <row r="236" spans="1:8" x14ac:dyDescent="0.2">
      <c r="A236" s="210">
        <v>1345100930</v>
      </c>
      <c r="B236" s="210" t="s">
        <v>429</v>
      </c>
      <c r="C236" s="219"/>
      <c r="H236" s="211">
        <v>7678392</v>
      </c>
    </row>
    <row r="237" spans="1:8" x14ac:dyDescent="0.2">
      <c r="A237" s="210">
        <v>1345100931</v>
      </c>
      <c r="B237" s="210" t="s">
        <v>430</v>
      </c>
      <c r="C237" s="219"/>
      <c r="H237" s="211">
        <v>2451075</v>
      </c>
    </row>
    <row r="238" spans="1:8" x14ac:dyDescent="0.2">
      <c r="A238" s="210">
        <v>1345100932</v>
      </c>
      <c r="B238" s="210" t="s">
        <v>431</v>
      </c>
      <c r="C238" s="219">
        <v>1004220</v>
      </c>
      <c r="D238" s="211">
        <v>918000</v>
      </c>
      <c r="E238" s="211">
        <v>716825</v>
      </c>
      <c r="F238" s="211">
        <v>827931</v>
      </c>
      <c r="G238" s="211">
        <v>732106</v>
      </c>
      <c r="H238" s="211">
        <v>729446</v>
      </c>
    </row>
    <row r="239" spans="1:8" x14ac:dyDescent="0.2">
      <c r="A239" s="210">
        <v>1345100933</v>
      </c>
      <c r="B239" s="210" t="s">
        <v>432</v>
      </c>
      <c r="C239" s="219">
        <v>32747</v>
      </c>
      <c r="D239" s="211">
        <v>20400</v>
      </c>
      <c r="E239" s="211">
        <v>23281</v>
      </c>
      <c r="F239" s="211">
        <v>20833</v>
      </c>
      <c r="G239" s="211">
        <v>33580</v>
      </c>
      <c r="H239" s="211">
        <v>35922</v>
      </c>
    </row>
    <row r="240" spans="1:8" x14ac:dyDescent="0.2">
      <c r="A240" s="210">
        <v>1345100934</v>
      </c>
      <c r="B240" s="210" t="s">
        <v>1196</v>
      </c>
      <c r="C240" s="219">
        <v>12000</v>
      </c>
      <c r="D240" s="211">
        <v>15000</v>
      </c>
      <c r="F240" s="211">
        <v>10557</v>
      </c>
      <c r="G240" s="211">
        <v>3162</v>
      </c>
      <c r="H240" s="211">
        <v>208</v>
      </c>
    </row>
    <row r="241" spans="1:8" x14ac:dyDescent="0.2">
      <c r="A241" s="210">
        <v>1345100935</v>
      </c>
      <c r="B241" s="210" t="s">
        <v>433</v>
      </c>
      <c r="C241" s="219">
        <v>21190</v>
      </c>
      <c r="D241" s="211">
        <v>21330</v>
      </c>
      <c r="E241" s="211">
        <v>12952</v>
      </c>
      <c r="F241" s="211">
        <v>21183</v>
      </c>
      <c r="G241" s="211">
        <v>19726</v>
      </c>
      <c r="H241" s="211">
        <v>18173</v>
      </c>
    </row>
    <row r="242" spans="1:8" x14ac:dyDescent="0.2">
      <c r="A242" s="210">
        <v>1345100936</v>
      </c>
      <c r="B242" s="210" t="s">
        <v>434</v>
      </c>
      <c r="C242" s="219">
        <v>169110</v>
      </c>
      <c r="D242" s="211">
        <v>178200</v>
      </c>
      <c r="E242" s="211">
        <v>148698</v>
      </c>
      <c r="F242" s="211">
        <v>100190</v>
      </c>
      <c r="H242" s="211">
        <v>82459</v>
      </c>
    </row>
    <row r="243" spans="1:8" x14ac:dyDescent="0.2">
      <c r="A243" s="210">
        <v>1345100937</v>
      </c>
      <c r="B243" s="210" t="s">
        <v>94</v>
      </c>
      <c r="C243" s="219"/>
      <c r="G243" s="211">
        <v>11469</v>
      </c>
    </row>
    <row r="244" spans="1:8" x14ac:dyDescent="0.2">
      <c r="A244" s="210">
        <v>1345100938</v>
      </c>
      <c r="B244" s="210" t="s">
        <v>1412</v>
      </c>
      <c r="C244" s="219">
        <v>0</v>
      </c>
      <c r="D244" s="211">
        <v>32376</v>
      </c>
      <c r="F244" s="211">
        <v>32029</v>
      </c>
      <c r="G244" s="211">
        <v>31937</v>
      </c>
      <c r="H244" s="211">
        <v>32651</v>
      </c>
    </row>
    <row r="245" spans="1:8" x14ac:dyDescent="0.2">
      <c r="A245" s="210">
        <v>1345100939</v>
      </c>
      <c r="B245" s="210" t="s">
        <v>1413</v>
      </c>
      <c r="C245" s="219">
        <v>36000</v>
      </c>
      <c r="D245" s="211">
        <v>15000</v>
      </c>
      <c r="E245" s="211">
        <v>19242</v>
      </c>
      <c r="F245" s="211">
        <v>18857</v>
      </c>
      <c r="G245" s="211">
        <v>4365</v>
      </c>
      <c r="H245" s="211">
        <v>10171</v>
      </c>
    </row>
    <row r="246" spans="1:8" x14ac:dyDescent="0.2">
      <c r="A246" s="210">
        <v>1345100940</v>
      </c>
      <c r="B246" s="210" t="s">
        <v>61</v>
      </c>
      <c r="C246" s="219">
        <v>9372600</v>
      </c>
      <c r="D246" s="211">
        <v>9315450</v>
      </c>
      <c r="E246" s="211">
        <v>6724232</v>
      </c>
      <c r="F246" s="211">
        <v>8927661</v>
      </c>
      <c r="G246" s="211">
        <v>8204828</v>
      </c>
    </row>
    <row r="247" spans="1:8" x14ac:dyDescent="0.2">
      <c r="A247" s="210">
        <v>1345100941</v>
      </c>
      <c r="B247" s="210" t="s">
        <v>62</v>
      </c>
      <c r="C247" s="219">
        <v>2394000</v>
      </c>
      <c r="D247" s="211">
        <v>2513700</v>
      </c>
      <c r="E247" s="211">
        <v>1872082</v>
      </c>
      <c r="F247" s="211">
        <v>2483453</v>
      </c>
      <c r="G247" s="211">
        <v>2520135</v>
      </c>
    </row>
    <row r="248" spans="1:8" x14ac:dyDescent="0.2">
      <c r="A248" s="210">
        <v>1345100942</v>
      </c>
      <c r="B248" s="210" t="s">
        <v>1480</v>
      </c>
      <c r="C248" s="219">
        <v>108852</v>
      </c>
      <c r="D248" s="211">
        <v>66150</v>
      </c>
      <c r="E248" s="211">
        <v>42584</v>
      </c>
      <c r="F248" s="211">
        <v>21488</v>
      </c>
    </row>
    <row r="249" spans="1:8" x14ac:dyDescent="0.2">
      <c r="A249" s="210">
        <v>1345200420</v>
      </c>
      <c r="B249" s="210" t="s">
        <v>95</v>
      </c>
      <c r="C249" s="219"/>
    </row>
    <row r="250" spans="1:8" x14ac:dyDescent="0.2">
      <c r="A250" s="210">
        <v>1345200930</v>
      </c>
      <c r="B250" s="210" t="s">
        <v>435</v>
      </c>
      <c r="C250" s="219"/>
      <c r="G250" s="211">
        <v>57625</v>
      </c>
      <c r="H250" s="211">
        <v>33425</v>
      </c>
    </row>
    <row r="251" spans="1:8" x14ac:dyDescent="0.2">
      <c r="A251" s="210">
        <v>1345200931</v>
      </c>
      <c r="B251" s="210" t="s">
        <v>436</v>
      </c>
      <c r="C251" s="219"/>
      <c r="H251" s="211">
        <v>569960</v>
      </c>
    </row>
    <row r="252" spans="1:8" x14ac:dyDescent="0.2">
      <c r="A252" s="210">
        <v>1345200932</v>
      </c>
      <c r="B252" s="210" t="s">
        <v>437</v>
      </c>
      <c r="C252" s="219">
        <v>460110</v>
      </c>
      <c r="D252" s="211">
        <v>518448</v>
      </c>
      <c r="E252" s="211">
        <v>323819</v>
      </c>
      <c r="F252" s="211">
        <v>489233</v>
      </c>
      <c r="G252" s="211">
        <v>480345</v>
      </c>
      <c r="H252" s="211">
        <v>446589</v>
      </c>
    </row>
    <row r="253" spans="1:8" x14ac:dyDescent="0.2">
      <c r="A253" s="210">
        <v>1345200935</v>
      </c>
      <c r="B253" s="210" t="s">
        <v>438</v>
      </c>
      <c r="C253" s="219"/>
    </row>
    <row r="254" spans="1:8" x14ac:dyDescent="0.2">
      <c r="A254" s="210">
        <v>1345200936</v>
      </c>
      <c r="B254" s="210" t="s">
        <v>63</v>
      </c>
      <c r="C254" s="219"/>
      <c r="D254" s="211">
        <v>39300</v>
      </c>
      <c r="F254" s="211">
        <v>22066</v>
      </c>
      <c r="G254" s="211">
        <v>46753</v>
      </c>
    </row>
    <row r="255" spans="1:8" x14ac:dyDescent="0.2">
      <c r="A255" s="210">
        <v>1345200937</v>
      </c>
      <c r="B255" s="210" t="s">
        <v>64</v>
      </c>
      <c r="C255" s="219">
        <v>989109</v>
      </c>
      <c r="D255" s="211">
        <v>975360</v>
      </c>
      <c r="E255" s="211">
        <v>636932</v>
      </c>
      <c r="F255" s="211">
        <v>712423</v>
      </c>
      <c r="G255" s="211">
        <v>659247</v>
      </c>
    </row>
    <row r="256" spans="1:8" x14ac:dyDescent="0.2">
      <c r="A256" s="210">
        <v>1345300420</v>
      </c>
      <c r="B256" s="210" t="s">
        <v>1197</v>
      </c>
      <c r="C256" s="219"/>
      <c r="E256" s="211">
        <v>12</v>
      </c>
    </row>
    <row r="257" spans="1:8" x14ac:dyDescent="0.2">
      <c r="A257" s="210">
        <v>1345300930</v>
      </c>
      <c r="B257" s="210" t="s">
        <v>298</v>
      </c>
      <c r="C257" s="219"/>
      <c r="E257" s="211">
        <v>5095.5</v>
      </c>
      <c r="F257" s="211">
        <v>5825</v>
      </c>
      <c r="H257" s="211">
        <v>21648</v>
      </c>
    </row>
    <row r="258" spans="1:8" x14ac:dyDescent="0.2">
      <c r="A258" s="210">
        <v>1345300931</v>
      </c>
      <c r="B258" s="210" t="s">
        <v>439</v>
      </c>
      <c r="C258" s="219">
        <v>12525</v>
      </c>
      <c r="D258" s="211">
        <v>14400</v>
      </c>
      <c r="E258" s="211">
        <v>4082</v>
      </c>
      <c r="F258" s="211">
        <v>11852</v>
      </c>
      <c r="G258" s="211">
        <v>33806</v>
      </c>
      <c r="H258" s="211">
        <v>20793</v>
      </c>
    </row>
    <row r="259" spans="1:8" x14ac:dyDescent="0.2">
      <c r="A259" s="210">
        <v>1345300933</v>
      </c>
      <c r="B259" s="210" t="s">
        <v>440</v>
      </c>
      <c r="C259" s="219"/>
      <c r="G259" s="211">
        <v>1577</v>
      </c>
      <c r="H259" s="211">
        <v>19805</v>
      </c>
    </row>
    <row r="260" spans="1:8" x14ac:dyDescent="0.2">
      <c r="A260" s="210">
        <v>1345300934</v>
      </c>
      <c r="B260" s="210" t="s">
        <v>1144</v>
      </c>
      <c r="C260" s="219"/>
    </row>
    <row r="261" spans="1:8" x14ac:dyDescent="0.2">
      <c r="A261" s="210">
        <v>1345300935</v>
      </c>
      <c r="B261" s="210" t="s">
        <v>441</v>
      </c>
      <c r="C261" s="219"/>
      <c r="H261" s="211">
        <v>247688</v>
      </c>
    </row>
    <row r="262" spans="1:8" x14ac:dyDescent="0.2">
      <c r="A262" s="210">
        <v>1345300936</v>
      </c>
      <c r="B262" s="210" t="s">
        <v>87</v>
      </c>
      <c r="C262" s="219">
        <v>9020</v>
      </c>
      <c r="E262" s="211">
        <v>10659</v>
      </c>
      <c r="F262" s="211">
        <v>7657</v>
      </c>
      <c r="G262" s="211">
        <v>-8610</v>
      </c>
    </row>
    <row r="263" spans="1:8" x14ac:dyDescent="0.2">
      <c r="A263" s="210">
        <v>1345300937</v>
      </c>
      <c r="B263" s="210" t="s">
        <v>65</v>
      </c>
      <c r="C263" s="219">
        <v>211250</v>
      </c>
      <c r="D263" s="211">
        <v>487500</v>
      </c>
      <c r="E263" s="211">
        <v>109423</v>
      </c>
      <c r="F263" s="211">
        <v>423711</v>
      </c>
      <c r="G263" s="211">
        <v>282122</v>
      </c>
    </row>
    <row r="264" spans="1:8" x14ac:dyDescent="0.2">
      <c r="A264" s="210">
        <v>1345300938</v>
      </c>
      <c r="B264" s="210" t="s">
        <v>66</v>
      </c>
      <c r="C264" s="219">
        <v>23814</v>
      </c>
      <c r="D264" s="211">
        <v>26496</v>
      </c>
      <c r="E264" s="211">
        <v>10040</v>
      </c>
      <c r="F264" s="211">
        <v>17970</v>
      </c>
      <c r="G264" s="211">
        <v>17519</v>
      </c>
    </row>
    <row r="265" spans="1:8" x14ac:dyDescent="0.2">
      <c r="A265" s="210">
        <v>1345523410</v>
      </c>
      <c r="B265" s="210" t="s">
        <v>298</v>
      </c>
      <c r="C265" s="219">
        <v>72000</v>
      </c>
      <c r="D265" s="211">
        <v>65000</v>
      </c>
      <c r="E265" s="211">
        <v>57602</v>
      </c>
      <c r="F265" s="211">
        <v>67448</v>
      </c>
      <c r="G265" s="211">
        <v>47218.03</v>
      </c>
      <c r="H265" s="211">
        <v>43812</v>
      </c>
    </row>
    <row r="266" spans="1:8" x14ac:dyDescent="0.2">
      <c r="A266" s="210">
        <v>1346100930</v>
      </c>
      <c r="B266" s="210" t="s">
        <v>442</v>
      </c>
      <c r="C266" s="219">
        <v>130500</v>
      </c>
      <c r="D266" s="211">
        <v>125820</v>
      </c>
      <c r="E266" s="211">
        <v>97066</v>
      </c>
      <c r="F266" s="211">
        <v>156432</v>
      </c>
      <c r="G266" s="211">
        <v>127036</v>
      </c>
      <c r="H266" s="211">
        <v>86856</v>
      </c>
    </row>
    <row r="267" spans="1:8" x14ac:dyDescent="0.2">
      <c r="A267" s="210">
        <v>1346300930</v>
      </c>
      <c r="B267" s="210" t="s">
        <v>1414</v>
      </c>
      <c r="C267" s="219"/>
    </row>
    <row r="268" spans="1:8" x14ac:dyDescent="0.2">
      <c r="A268" s="210">
        <v>1346300931</v>
      </c>
      <c r="B268" s="210" t="s">
        <v>443</v>
      </c>
      <c r="C268" s="219">
        <v>47250</v>
      </c>
      <c r="D268" s="211">
        <v>31678</v>
      </c>
      <c r="E268" s="211">
        <v>34235</v>
      </c>
      <c r="F268" s="211">
        <v>31673</v>
      </c>
      <c r="G268" s="211">
        <v>19710</v>
      </c>
      <c r="H268" s="211">
        <v>38151</v>
      </c>
    </row>
    <row r="269" spans="1:8" x14ac:dyDescent="0.2">
      <c r="A269" s="210">
        <v>1346300933</v>
      </c>
      <c r="B269" s="210" t="s">
        <v>444</v>
      </c>
      <c r="C269" s="219">
        <v>9825</v>
      </c>
      <c r="D269" s="211">
        <v>5850</v>
      </c>
      <c r="E269" s="211">
        <v>1663</v>
      </c>
      <c r="F269" s="211">
        <v>17702</v>
      </c>
      <c r="G269" s="211">
        <v>9691</v>
      </c>
      <c r="H269" s="211">
        <v>3788</v>
      </c>
    </row>
    <row r="270" spans="1:8" x14ac:dyDescent="0.2">
      <c r="A270" s="210">
        <v>1346400930</v>
      </c>
      <c r="B270" s="210" t="s">
        <v>1415</v>
      </c>
      <c r="C270" s="219">
        <v>41742</v>
      </c>
      <c r="E270" s="211">
        <v>3751</v>
      </c>
    </row>
    <row r="271" spans="1:8" x14ac:dyDescent="0.2">
      <c r="A271" s="210">
        <v>1346400931</v>
      </c>
      <c r="B271" s="210" t="s">
        <v>445</v>
      </c>
      <c r="C271" s="219"/>
      <c r="F271" s="211">
        <v>-6888</v>
      </c>
      <c r="G271" s="211">
        <v>38275</v>
      </c>
      <c r="H271" s="211">
        <v>104145</v>
      </c>
    </row>
    <row r="272" spans="1:8" x14ac:dyDescent="0.2">
      <c r="A272" s="210">
        <v>1346500930</v>
      </c>
      <c r="B272" s="210" t="s">
        <v>446</v>
      </c>
      <c r="C272" s="219">
        <v>2949300</v>
      </c>
      <c r="D272" s="211">
        <v>2522286</v>
      </c>
      <c r="E272" s="211">
        <v>1943046</v>
      </c>
      <c r="F272" s="211">
        <v>2319103</v>
      </c>
      <c r="G272" s="211">
        <v>1888791</v>
      </c>
      <c r="H272" s="211">
        <v>1800800</v>
      </c>
    </row>
    <row r="273" spans="1:8" x14ac:dyDescent="0.2">
      <c r="A273" s="210">
        <v>1346500931</v>
      </c>
      <c r="B273" s="210" t="s">
        <v>1416</v>
      </c>
      <c r="C273" s="219"/>
    </row>
    <row r="274" spans="1:8" x14ac:dyDescent="0.2">
      <c r="A274" s="210">
        <v>1346600930</v>
      </c>
      <c r="B274" s="210" t="s">
        <v>447</v>
      </c>
      <c r="C274" s="219">
        <v>51750</v>
      </c>
      <c r="D274" s="211">
        <v>6614</v>
      </c>
      <c r="E274" s="211">
        <v>17431</v>
      </c>
      <c r="F274" s="211">
        <v>8047</v>
      </c>
      <c r="G274" s="211">
        <v>6481</v>
      </c>
      <c r="H274" s="211">
        <v>15044</v>
      </c>
    </row>
    <row r="275" spans="1:8" x14ac:dyDescent="0.2">
      <c r="A275" s="210">
        <v>1346600931</v>
      </c>
      <c r="B275" s="210" t="s">
        <v>448</v>
      </c>
      <c r="C275" s="219">
        <v>122430</v>
      </c>
      <c r="D275" s="211">
        <v>73440</v>
      </c>
      <c r="E275" s="211">
        <v>64558</v>
      </c>
      <c r="F275" s="211">
        <v>76078</v>
      </c>
      <c r="G275" s="211">
        <v>43616</v>
      </c>
      <c r="H275" s="211">
        <v>30512</v>
      </c>
    </row>
    <row r="276" spans="1:8" x14ac:dyDescent="0.2">
      <c r="A276" s="210">
        <v>1346600933</v>
      </c>
      <c r="B276" s="210" t="s">
        <v>1479</v>
      </c>
      <c r="C276" s="219">
        <v>4500</v>
      </c>
      <c r="D276" s="211">
        <v>4500</v>
      </c>
      <c r="E276" s="211">
        <v>1440</v>
      </c>
      <c r="F276" s="211">
        <v>5744</v>
      </c>
    </row>
    <row r="277" spans="1:8" x14ac:dyDescent="0.2">
      <c r="A277" s="210">
        <v>1346700420</v>
      </c>
      <c r="B277" s="210" t="s">
        <v>303</v>
      </c>
      <c r="C277" s="219">
        <v>121200</v>
      </c>
      <c r="D277" s="211">
        <v>105000</v>
      </c>
      <c r="E277" s="211">
        <v>92703</v>
      </c>
      <c r="F277" s="211">
        <v>109552.95</v>
      </c>
      <c r="G277" s="211">
        <v>79626.3</v>
      </c>
      <c r="H277" s="211">
        <v>52371</v>
      </c>
    </row>
    <row r="278" spans="1:8" x14ac:dyDescent="0.2">
      <c r="A278" s="210">
        <v>1346700930</v>
      </c>
      <c r="B278" s="210" t="s">
        <v>449</v>
      </c>
      <c r="C278" s="219">
        <v>26250</v>
      </c>
      <c r="D278" s="211">
        <v>15000</v>
      </c>
      <c r="E278" s="211">
        <v>20875</v>
      </c>
      <c r="F278" s="211">
        <v>2145</v>
      </c>
      <c r="G278" s="211">
        <v>16482</v>
      </c>
      <c r="H278" s="211">
        <v>19537</v>
      </c>
    </row>
    <row r="279" spans="1:8" x14ac:dyDescent="0.2">
      <c r="A279" s="210">
        <v>1346700931</v>
      </c>
      <c r="B279" s="210" t="s">
        <v>1417</v>
      </c>
      <c r="C279" s="219">
        <v>9378</v>
      </c>
      <c r="G279" s="211">
        <v>-1246</v>
      </c>
      <c r="H279" s="211">
        <v>14353</v>
      </c>
    </row>
    <row r="280" spans="1:8" x14ac:dyDescent="0.2">
      <c r="A280" s="210">
        <v>1346700932</v>
      </c>
      <c r="B280" s="210" t="s">
        <v>1418</v>
      </c>
      <c r="C280" s="219"/>
    </row>
    <row r="281" spans="1:8" x14ac:dyDescent="0.2">
      <c r="A281" s="210">
        <v>1346700933</v>
      </c>
      <c r="B281" s="210" t="s">
        <v>303</v>
      </c>
      <c r="C281" s="219">
        <v>243828</v>
      </c>
      <c r="D281" s="211">
        <v>87786</v>
      </c>
      <c r="E281" s="211">
        <v>298719</v>
      </c>
      <c r="F281" s="211">
        <v>155058</v>
      </c>
      <c r="G281" s="211">
        <v>100563</v>
      </c>
      <c r="H281" s="211">
        <v>161464</v>
      </c>
    </row>
    <row r="282" spans="1:8" x14ac:dyDescent="0.2">
      <c r="A282" s="210">
        <v>1346700934</v>
      </c>
      <c r="B282" s="210" t="s">
        <v>450</v>
      </c>
      <c r="C282" s="219">
        <v>240000</v>
      </c>
      <c r="D282" s="211">
        <v>225000</v>
      </c>
      <c r="E282" s="211">
        <v>105910</v>
      </c>
      <c r="F282" s="211">
        <v>213827</v>
      </c>
      <c r="G282" s="211">
        <v>111536</v>
      </c>
      <c r="H282" s="211">
        <v>167674</v>
      </c>
    </row>
    <row r="283" spans="1:8" x14ac:dyDescent="0.2">
      <c r="A283" s="210">
        <v>1346700935</v>
      </c>
      <c r="B283" s="210" t="s">
        <v>451</v>
      </c>
      <c r="C283" s="219">
        <v>30960</v>
      </c>
      <c r="D283" s="211">
        <v>90000</v>
      </c>
      <c r="E283" s="211">
        <v>4165</v>
      </c>
      <c r="F283" s="211">
        <v>99234</v>
      </c>
      <c r="G283" s="211">
        <v>-14779</v>
      </c>
      <c r="H283" s="211">
        <v>66716</v>
      </c>
    </row>
    <row r="284" spans="1:8" x14ac:dyDescent="0.2">
      <c r="A284" s="210">
        <v>1346700936</v>
      </c>
      <c r="B284" s="210" t="s">
        <v>452</v>
      </c>
      <c r="C284" s="219">
        <v>3638</v>
      </c>
      <c r="D284" s="211">
        <v>10948</v>
      </c>
      <c r="F284" s="211">
        <v>9932</v>
      </c>
      <c r="H284" s="211">
        <v>2808</v>
      </c>
    </row>
    <row r="285" spans="1:8" x14ac:dyDescent="0.2">
      <c r="A285" s="210">
        <v>1346700937</v>
      </c>
      <c r="B285" s="210" t="s">
        <v>453</v>
      </c>
      <c r="C285" s="219"/>
    </row>
    <row r="286" spans="1:8" x14ac:dyDescent="0.2">
      <c r="A286" s="210">
        <v>1346700938</v>
      </c>
      <c r="B286" s="210" t="s">
        <v>454</v>
      </c>
      <c r="C286" s="219">
        <v>71143</v>
      </c>
      <c r="D286" s="211">
        <v>148176</v>
      </c>
      <c r="E286" s="211">
        <v>60750</v>
      </c>
      <c r="F286" s="211">
        <v>156228</v>
      </c>
      <c r="G286" s="211">
        <v>133473</v>
      </c>
      <c r="H286" s="211">
        <v>51395</v>
      </c>
    </row>
    <row r="287" spans="1:8" x14ac:dyDescent="0.2">
      <c r="A287" s="210">
        <v>1346700939</v>
      </c>
      <c r="B287" s="210" t="s">
        <v>88</v>
      </c>
      <c r="C287" s="219">
        <v>28710</v>
      </c>
      <c r="D287" s="211">
        <v>67680</v>
      </c>
      <c r="E287" s="211">
        <v>53158</v>
      </c>
      <c r="F287" s="211">
        <v>60028</v>
      </c>
      <c r="G287" s="211">
        <v>30970</v>
      </c>
    </row>
    <row r="288" spans="1:8" x14ac:dyDescent="0.2">
      <c r="A288" s="210">
        <v>1346700950</v>
      </c>
      <c r="B288" s="210" t="s">
        <v>1595</v>
      </c>
      <c r="C288" s="219">
        <v>51255</v>
      </c>
      <c r="E288" s="211">
        <v>26250</v>
      </c>
    </row>
    <row r="289" spans="1:8" x14ac:dyDescent="0.2">
      <c r="A289" s="210">
        <v>1346800932</v>
      </c>
      <c r="B289" s="210" t="s">
        <v>455</v>
      </c>
      <c r="C289" s="219">
        <v>11790</v>
      </c>
      <c r="D289" s="211">
        <v>22050</v>
      </c>
      <c r="E289" s="211">
        <v>7500</v>
      </c>
      <c r="F289" s="211">
        <v>14259</v>
      </c>
      <c r="G289" s="211">
        <v>11487</v>
      </c>
      <c r="H289" s="211">
        <v>4708</v>
      </c>
    </row>
    <row r="290" spans="1:8" x14ac:dyDescent="0.2">
      <c r="A290" s="210">
        <v>1346800933</v>
      </c>
      <c r="B290" s="210" t="s">
        <v>456</v>
      </c>
      <c r="C290" s="219">
        <v>179316</v>
      </c>
      <c r="D290" s="211">
        <v>55782</v>
      </c>
      <c r="E290" s="211">
        <v>41596</v>
      </c>
      <c r="F290" s="211">
        <v>65008</v>
      </c>
      <c r="G290" s="211">
        <v>82974</v>
      </c>
      <c r="H290" s="211">
        <v>77560</v>
      </c>
    </row>
    <row r="291" spans="1:8" x14ac:dyDescent="0.2">
      <c r="A291" s="210">
        <v>1346800934</v>
      </c>
      <c r="B291" s="210" t="s">
        <v>457</v>
      </c>
      <c r="C291" s="219">
        <v>11250</v>
      </c>
      <c r="D291" s="211">
        <v>11250</v>
      </c>
      <c r="F291" s="211">
        <v>14343</v>
      </c>
      <c r="G291" s="211">
        <v>16500</v>
      </c>
      <c r="H291" s="211">
        <v>20589</v>
      </c>
    </row>
    <row r="292" spans="1:8" x14ac:dyDescent="0.2">
      <c r="A292" s="210">
        <v>1346800935</v>
      </c>
      <c r="B292" s="210" t="s">
        <v>458</v>
      </c>
      <c r="C292" s="219"/>
      <c r="H292" s="211">
        <v>114356</v>
      </c>
    </row>
    <row r="293" spans="1:8" x14ac:dyDescent="0.2">
      <c r="A293" s="210">
        <v>1346800936</v>
      </c>
      <c r="B293" s="210" t="s">
        <v>459</v>
      </c>
      <c r="C293" s="219">
        <v>208458</v>
      </c>
      <c r="D293" s="211">
        <v>201042</v>
      </c>
      <c r="E293" s="211">
        <v>66197</v>
      </c>
      <c r="F293" s="211">
        <v>200844</v>
      </c>
      <c r="G293" s="211">
        <v>199281</v>
      </c>
      <c r="H293" s="211">
        <v>192404</v>
      </c>
    </row>
    <row r="294" spans="1:8" x14ac:dyDescent="0.2">
      <c r="A294" s="210">
        <v>1346800937</v>
      </c>
      <c r="B294" s="210" t="s">
        <v>1419</v>
      </c>
      <c r="C294" s="219"/>
    </row>
    <row r="295" spans="1:8" x14ac:dyDescent="0.2">
      <c r="A295" s="210">
        <v>1346800938</v>
      </c>
      <c r="B295" s="210" t="s">
        <v>1596</v>
      </c>
      <c r="C295" s="219"/>
      <c r="E295" s="211">
        <v>31292</v>
      </c>
      <c r="F295" s="211">
        <v>10365</v>
      </c>
    </row>
    <row r="296" spans="1:8" x14ac:dyDescent="0.2">
      <c r="A296" s="210">
        <v>1346800939</v>
      </c>
      <c r="B296" s="210" t="s">
        <v>460</v>
      </c>
      <c r="C296" s="219"/>
    </row>
    <row r="297" spans="1:8" x14ac:dyDescent="0.2">
      <c r="A297" s="210">
        <v>1346800940</v>
      </c>
      <c r="B297" s="210" t="s">
        <v>67</v>
      </c>
      <c r="C297" s="219">
        <v>76200</v>
      </c>
      <c r="D297" s="211">
        <v>42921</v>
      </c>
      <c r="E297" s="211">
        <v>57846</v>
      </c>
      <c r="F297" s="211">
        <v>113966</v>
      </c>
      <c r="G297" s="211">
        <v>113750</v>
      </c>
    </row>
    <row r="298" spans="1:8" x14ac:dyDescent="0.2">
      <c r="A298" s="210">
        <v>1346800941</v>
      </c>
      <c r="B298" s="210" t="s">
        <v>68</v>
      </c>
      <c r="C298" s="219"/>
      <c r="G298" s="211">
        <v>5972</v>
      </c>
    </row>
    <row r="299" spans="1:8" x14ac:dyDescent="0.2">
      <c r="A299" s="210">
        <v>1346900420</v>
      </c>
      <c r="B299" s="210" t="s">
        <v>1597</v>
      </c>
      <c r="C299" s="219"/>
      <c r="D299" s="211">
        <v>135000</v>
      </c>
      <c r="E299" s="211">
        <v>57122.25</v>
      </c>
      <c r="F299" s="211">
        <v>17985</v>
      </c>
    </row>
    <row r="300" spans="1:8" x14ac:dyDescent="0.2">
      <c r="A300" s="210">
        <v>1346900920</v>
      </c>
      <c r="B300" s="210" t="s">
        <v>1597</v>
      </c>
      <c r="C300" s="219">
        <v>135000</v>
      </c>
    </row>
    <row r="301" spans="1:8" x14ac:dyDescent="0.2">
      <c r="A301" s="210">
        <v>1347000930</v>
      </c>
      <c r="B301" s="210" t="s">
        <v>446</v>
      </c>
      <c r="C301" s="219"/>
    </row>
    <row r="302" spans="1:8" x14ac:dyDescent="0.2">
      <c r="A302" s="210">
        <v>1347100930</v>
      </c>
      <c r="B302" s="210" t="s">
        <v>1420</v>
      </c>
      <c r="C302" s="219"/>
    </row>
    <row r="303" spans="1:8" x14ac:dyDescent="0.2">
      <c r="A303" s="210">
        <v>1347100931</v>
      </c>
      <c r="B303" s="210" t="s">
        <v>461</v>
      </c>
      <c r="C303" s="219">
        <v>257475</v>
      </c>
      <c r="D303" s="211">
        <v>193260</v>
      </c>
      <c r="E303" s="211">
        <v>138442</v>
      </c>
      <c r="F303" s="211">
        <v>203896</v>
      </c>
      <c r="G303" s="211">
        <v>295314</v>
      </c>
      <c r="H303" s="211">
        <v>310306</v>
      </c>
    </row>
    <row r="304" spans="1:8" x14ac:dyDescent="0.2">
      <c r="A304" s="210">
        <v>1347100932</v>
      </c>
      <c r="B304" s="210" t="s">
        <v>1198</v>
      </c>
      <c r="C304" s="219">
        <v>72000</v>
      </c>
      <c r="D304" s="211">
        <v>72000</v>
      </c>
      <c r="E304" s="211">
        <v>41829</v>
      </c>
      <c r="F304" s="211">
        <v>72000</v>
      </c>
      <c r="G304" s="211">
        <v>35289</v>
      </c>
      <c r="H304" s="211">
        <v>133637</v>
      </c>
    </row>
    <row r="305" spans="1:8" x14ac:dyDescent="0.2">
      <c r="A305" s="210">
        <v>1347100933</v>
      </c>
      <c r="B305" s="210" t="s">
        <v>462</v>
      </c>
      <c r="C305" s="219">
        <v>17250</v>
      </c>
      <c r="E305" s="211">
        <v>13256</v>
      </c>
      <c r="F305" s="211">
        <v>16508</v>
      </c>
      <c r="G305" s="211">
        <v>11835</v>
      </c>
      <c r="H305" s="211">
        <v>11851</v>
      </c>
    </row>
    <row r="306" spans="1:8" x14ac:dyDescent="0.2">
      <c r="A306" s="210">
        <v>1347100934</v>
      </c>
      <c r="B306" s="210" t="s">
        <v>463</v>
      </c>
      <c r="C306" s="219">
        <v>159975</v>
      </c>
      <c r="D306" s="211">
        <v>160650</v>
      </c>
      <c r="E306" s="211">
        <v>121907</v>
      </c>
      <c r="F306" s="211">
        <v>130150</v>
      </c>
      <c r="G306" s="211">
        <v>151823</v>
      </c>
      <c r="H306" s="211">
        <v>142005</v>
      </c>
    </row>
    <row r="307" spans="1:8" x14ac:dyDescent="0.2">
      <c r="A307" s="210">
        <v>1347100935</v>
      </c>
      <c r="B307" s="210" t="s">
        <v>1421</v>
      </c>
      <c r="C307" s="219"/>
      <c r="D307" s="211">
        <v>38760</v>
      </c>
      <c r="G307" s="211">
        <v>17728</v>
      </c>
      <c r="H307" s="211">
        <v>166866</v>
      </c>
    </row>
    <row r="308" spans="1:8" x14ac:dyDescent="0.2">
      <c r="A308" s="210">
        <v>1347100936</v>
      </c>
      <c r="B308" s="210" t="s">
        <v>50</v>
      </c>
      <c r="C308" s="219">
        <v>11313</v>
      </c>
      <c r="D308" s="211">
        <v>21600</v>
      </c>
      <c r="E308" s="211">
        <v>666</v>
      </c>
      <c r="F308" s="211">
        <v>28395</v>
      </c>
      <c r="G308" s="211">
        <v>26448</v>
      </c>
      <c r="H308" s="211">
        <v>14376</v>
      </c>
    </row>
    <row r="309" spans="1:8" x14ac:dyDescent="0.2">
      <c r="A309" s="210">
        <v>1347100938</v>
      </c>
      <c r="B309" s="210" t="s">
        <v>1422</v>
      </c>
      <c r="C309" s="219"/>
    </row>
    <row r="310" spans="1:8" x14ac:dyDescent="0.2">
      <c r="A310" s="210">
        <v>1347100940</v>
      </c>
      <c r="B310" s="210" t="s">
        <v>69</v>
      </c>
      <c r="C310" s="219">
        <v>15000</v>
      </c>
      <c r="D310" s="211">
        <v>14000</v>
      </c>
      <c r="G310" s="211">
        <v>14885</v>
      </c>
    </row>
    <row r="311" spans="1:8" x14ac:dyDescent="0.2">
      <c r="A311" s="210">
        <v>1347110930</v>
      </c>
      <c r="B311" s="210" t="s">
        <v>464</v>
      </c>
      <c r="C311" s="219"/>
    </row>
    <row r="312" spans="1:8" x14ac:dyDescent="0.2">
      <c r="A312" s="210">
        <v>1347140931</v>
      </c>
      <c r="B312" s="210" t="s">
        <v>1145</v>
      </c>
      <c r="C312" s="219"/>
      <c r="G312" s="211">
        <v>28802</v>
      </c>
      <c r="H312" s="211">
        <v>58034</v>
      </c>
    </row>
    <row r="313" spans="1:8" x14ac:dyDescent="0.2">
      <c r="A313" s="210">
        <v>1347140932</v>
      </c>
      <c r="B313" s="210" t="s">
        <v>465</v>
      </c>
      <c r="C313" s="219"/>
    </row>
    <row r="314" spans="1:8" x14ac:dyDescent="0.2">
      <c r="A314" s="210">
        <v>1347200930</v>
      </c>
      <c r="B314" s="210" t="s">
        <v>1423</v>
      </c>
      <c r="C314" s="219"/>
    </row>
    <row r="315" spans="1:8" x14ac:dyDescent="0.2">
      <c r="A315" s="210">
        <v>1347300790</v>
      </c>
      <c r="B315" s="210" t="s">
        <v>1038</v>
      </c>
      <c r="C315" s="219"/>
    </row>
    <row r="316" spans="1:8" x14ac:dyDescent="0.2">
      <c r="A316" s="210">
        <v>1347300930</v>
      </c>
      <c r="B316" s="210" t="s">
        <v>466</v>
      </c>
      <c r="C316" s="219">
        <v>4500</v>
      </c>
      <c r="D316" s="211">
        <v>6000</v>
      </c>
      <c r="E316" s="211">
        <v>2006</v>
      </c>
      <c r="F316" s="211">
        <v>5744</v>
      </c>
      <c r="G316" s="211">
        <v>6000</v>
      </c>
      <c r="H316" s="211">
        <v>6004</v>
      </c>
    </row>
    <row r="317" spans="1:8" x14ac:dyDescent="0.2">
      <c r="A317" s="210">
        <v>1347300932</v>
      </c>
      <c r="B317" s="210" t="s">
        <v>467</v>
      </c>
      <c r="C317" s="219"/>
    </row>
    <row r="318" spans="1:8" x14ac:dyDescent="0.2">
      <c r="A318" s="210">
        <v>1347300933</v>
      </c>
      <c r="B318" s="210" t="s">
        <v>1424</v>
      </c>
      <c r="C318" s="219"/>
    </row>
    <row r="319" spans="1:8" x14ac:dyDescent="0.2">
      <c r="A319" s="210">
        <v>1347300934</v>
      </c>
      <c r="B319" s="210" t="s">
        <v>468</v>
      </c>
      <c r="C319" s="219"/>
    </row>
    <row r="320" spans="1:8" x14ac:dyDescent="0.2">
      <c r="A320" s="210">
        <v>1347300935</v>
      </c>
      <c r="B320" s="210" t="s">
        <v>469</v>
      </c>
      <c r="C320" s="219"/>
    </row>
    <row r="321" spans="1:8" x14ac:dyDescent="0.2">
      <c r="A321" s="210">
        <v>1347300936</v>
      </c>
      <c r="B321" s="210" t="s">
        <v>1425</v>
      </c>
      <c r="C321" s="219">
        <v>93525</v>
      </c>
      <c r="D321" s="211">
        <v>111600</v>
      </c>
      <c r="E321" s="211">
        <v>81209</v>
      </c>
      <c r="F321" s="211">
        <v>150875</v>
      </c>
      <c r="G321" s="211">
        <v>96108</v>
      </c>
      <c r="H321" s="211">
        <v>128661</v>
      </c>
    </row>
    <row r="322" spans="1:8" x14ac:dyDescent="0.2">
      <c r="A322" s="210">
        <v>1347300937</v>
      </c>
      <c r="B322" s="210" t="s">
        <v>96</v>
      </c>
      <c r="C322" s="219">
        <v>0</v>
      </c>
      <c r="D322" s="211">
        <v>13397</v>
      </c>
      <c r="F322" s="211">
        <v>10346</v>
      </c>
      <c r="G322" s="211">
        <v>14543</v>
      </c>
    </row>
    <row r="323" spans="1:8" x14ac:dyDescent="0.2">
      <c r="A323" s="210">
        <v>1347300938</v>
      </c>
      <c r="B323" s="210" t="s">
        <v>1478</v>
      </c>
      <c r="C323" s="219">
        <v>0</v>
      </c>
      <c r="D323" s="211">
        <v>6327</v>
      </c>
      <c r="F323" s="211">
        <v>5288</v>
      </c>
    </row>
    <row r="324" spans="1:8" x14ac:dyDescent="0.2">
      <c r="A324" s="210">
        <v>1347400930</v>
      </c>
      <c r="B324" s="210" t="s">
        <v>1426</v>
      </c>
      <c r="C324" s="219">
        <v>0</v>
      </c>
    </row>
    <row r="325" spans="1:8" x14ac:dyDescent="0.2">
      <c r="A325" s="210">
        <v>1347400931</v>
      </c>
      <c r="B325" s="210" t="s">
        <v>470</v>
      </c>
      <c r="C325" s="219">
        <v>289545</v>
      </c>
      <c r="D325" s="211">
        <v>326000</v>
      </c>
      <c r="E325" s="211">
        <v>256832</v>
      </c>
      <c r="F325" s="211">
        <v>337948</v>
      </c>
      <c r="G325" s="211">
        <v>322412</v>
      </c>
      <c r="H325" s="211">
        <v>263008</v>
      </c>
    </row>
    <row r="326" spans="1:8" x14ac:dyDescent="0.2">
      <c r="A326" s="210">
        <v>1347400933</v>
      </c>
      <c r="B326" s="210" t="s">
        <v>471</v>
      </c>
      <c r="C326" s="219">
        <v>44592</v>
      </c>
      <c r="D326" s="211">
        <v>22500</v>
      </c>
      <c r="E326" s="211">
        <v>23775</v>
      </c>
      <c r="F326" s="211">
        <v>21375</v>
      </c>
      <c r="G326" s="211">
        <v>19500</v>
      </c>
      <c r="H326" s="211">
        <v>16650</v>
      </c>
    </row>
    <row r="327" spans="1:8" x14ac:dyDescent="0.2">
      <c r="A327" s="210">
        <v>1347400934</v>
      </c>
      <c r="B327" s="210" t="s">
        <v>472</v>
      </c>
      <c r="C327" s="219"/>
      <c r="D327" s="211">
        <v>7500</v>
      </c>
    </row>
    <row r="328" spans="1:8" x14ac:dyDescent="0.2">
      <c r="A328" s="210">
        <v>1347400935</v>
      </c>
      <c r="B328" s="210" t="s">
        <v>473</v>
      </c>
      <c r="C328" s="219"/>
      <c r="H328" s="211">
        <v>34200</v>
      </c>
    </row>
    <row r="329" spans="1:8" x14ac:dyDescent="0.2">
      <c r="A329" s="210">
        <v>1348200410</v>
      </c>
      <c r="B329" s="210" t="s">
        <v>1427</v>
      </c>
      <c r="C329" s="219"/>
    </row>
    <row r="330" spans="1:8" x14ac:dyDescent="0.2">
      <c r="A330" s="210">
        <v>1348200790</v>
      </c>
      <c r="B330" s="210" t="s">
        <v>1428</v>
      </c>
      <c r="C330" s="219"/>
    </row>
    <row r="331" spans="1:8" x14ac:dyDescent="0.2">
      <c r="A331" s="210">
        <v>1348200931</v>
      </c>
      <c r="B331" s="210" t="s">
        <v>474</v>
      </c>
      <c r="C331" s="219">
        <v>18750</v>
      </c>
      <c r="D331" s="211">
        <v>18750</v>
      </c>
      <c r="E331" s="211">
        <v>7500</v>
      </c>
      <c r="F331" s="211">
        <v>8488</v>
      </c>
      <c r="G331" s="211">
        <v>11101</v>
      </c>
      <c r="H331" s="211">
        <v>10050</v>
      </c>
    </row>
    <row r="332" spans="1:8" x14ac:dyDescent="0.2">
      <c r="A332" s="210">
        <v>1348200932</v>
      </c>
      <c r="B332" s="210" t="s">
        <v>1429</v>
      </c>
      <c r="C332" s="219"/>
    </row>
    <row r="333" spans="1:8" x14ac:dyDescent="0.2">
      <c r="A333" s="210">
        <v>1348200933</v>
      </c>
      <c r="B333" s="210" t="s">
        <v>1430</v>
      </c>
      <c r="C333" s="219"/>
    </row>
    <row r="334" spans="1:8" x14ac:dyDescent="0.2">
      <c r="A334" s="210">
        <v>1348200934</v>
      </c>
      <c r="B334" s="210" t="s">
        <v>1253</v>
      </c>
      <c r="C334" s="219"/>
    </row>
    <row r="335" spans="1:8" x14ac:dyDescent="0.2">
      <c r="A335" s="210">
        <v>1348200935</v>
      </c>
      <c r="B335" s="210" t="s">
        <v>1199</v>
      </c>
      <c r="C335" s="219"/>
    </row>
    <row r="336" spans="1:8" x14ac:dyDescent="0.2">
      <c r="A336" s="210">
        <v>1348200936</v>
      </c>
      <c r="B336" s="210" t="s">
        <v>1431</v>
      </c>
      <c r="C336" s="219"/>
      <c r="F336" s="211">
        <v>3186</v>
      </c>
    </row>
    <row r="337" spans="1:8" x14ac:dyDescent="0.2">
      <c r="A337" s="210">
        <v>1348200937</v>
      </c>
      <c r="B337" s="210" t="s">
        <v>1365</v>
      </c>
      <c r="C337" s="219">
        <v>8250</v>
      </c>
      <c r="D337" s="211">
        <v>9000</v>
      </c>
      <c r="E337" s="211">
        <v>3375</v>
      </c>
      <c r="F337" s="211">
        <v>3375</v>
      </c>
      <c r="G337" s="211">
        <v>10328</v>
      </c>
      <c r="H337" s="211">
        <v>8025</v>
      </c>
    </row>
    <row r="338" spans="1:8" x14ac:dyDescent="0.2">
      <c r="A338" s="210">
        <v>1348300930</v>
      </c>
      <c r="B338" s="210" t="s">
        <v>475</v>
      </c>
      <c r="C338" s="219">
        <v>6000</v>
      </c>
      <c r="D338" s="211">
        <v>6000</v>
      </c>
      <c r="E338" s="211">
        <v>7833</v>
      </c>
      <c r="F338" s="211">
        <v>5845</v>
      </c>
      <c r="G338" s="211">
        <v>3983</v>
      </c>
      <c r="H338" s="211">
        <v>3036</v>
      </c>
    </row>
    <row r="339" spans="1:8" x14ac:dyDescent="0.2">
      <c r="A339" s="210">
        <v>1348300931</v>
      </c>
      <c r="B339" s="210" t="s">
        <v>1432</v>
      </c>
      <c r="C339" s="219"/>
    </row>
    <row r="340" spans="1:8" x14ac:dyDescent="0.2">
      <c r="A340" s="210">
        <v>1348400930</v>
      </c>
      <c r="B340" s="210" t="s">
        <v>476</v>
      </c>
      <c r="C340" s="219">
        <v>1905</v>
      </c>
      <c r="D340" s="211">
        <v>1875</v>
      </c>
      <c r="G340" s="211">
        <v>708</v>
      </c>
      <c r="H340" s="211">
        <v>555</v>
      </c>
    </row>
    <row r="341" spans="1:8" x14ac:dyDescent="0.2">
      <c r="A341" s="210">
        <v>1348500932</v>
      </c>
      <c r="B341" s="210" t="s">
        <v>477</v>
      </c>
      <c r="C341" s="219">
        <v>27000</v>
      </c>
      <c r="D341" s="211">
        <v>27000</v>
      </c>
      <c r="E341" s="211">
        <v>21465</v>
      </c>
      <c r="F341" s="211">
        <v>43028</v>
      </c>
      <c r="G341" s="211">
        <v>31849</v>
      </c>
      <c r="H341" s="211">
        <v>18143</v>
      </c>
    </row>
    <row r="342" spans="1:8" x14ac:dyDescent="0.2">
      <c r="A342" s="210">
        <v>1348801420</v>
      </c>
      <c r="B342" s="210" t="s">
        <v>304</v>
      </c>
      <c r="C342" s="219"/>
    </row>
    <row r="343" spans="1:8" x14ac:dyDescent="0.2">
      <c r="A343" s="210">
        <v>1349000422</v>
      </c>
      <c r="B343" s="210" t="s">
        <v>1200</v>
      </c>
      <c r="C343" s="219">
        <v>5000</v>
      </c>
      <c r="D343" s="211">
        <v>7000</v>
      </c>
      <c r="E343" s="211">
        <v>4040</v>
      </c>
      <c r="F343" s="211">
        <v>7183</v>
      </c>
      <c r="G343" s="211">
        <v>1664</v>
      </c>
      <c r="H343" s="211">
        <v>1171</v>
      </c>
    </row>
    <row r="344" spans="1:8" x14ac:dyDescent="0.2">
      <c r="A344" s="210">
        <v>1349000930</v>
      </c>
      <c r="B344" s="210" t="s">
        <v>478</v>
      </c>
      <c r="C344" s="219">
        <v>13151</v>
      </c>
      <c r="D344" s="211">
        <v>3750</v>
      </c>
      <c r="E344" s="211">
        <v>9744</v>
      </c>
      <c r="F344" s="211">
        <v>12248</v>
      </c>
      <c r="G344" s="211">
        <v>12066</v>
      </c>
      <c r="H344" s="211">
        <v>9431</v>
      </c>
    </row>
    <row r="345" spans="1:8" x14ac:dyDescent="0.2">
      <c r="A345" s="210">
        <v>1349000931</v>
      </c>
      <c r="B345" s="210" t="s">
        <v>479</v>
      </c>
      <c r="C345" s="219"/>
      <c r="H345" s="211">
        <v>16396</v>
      </c>
    </row>
    <row r="346" spans="1:8" x14ac:dyDescent="0.2">
      <c r="A346" s="210">
        <v>1349000932</v>
      </c>
      <c r="B346" s="210" t="s">
        <v>480</v>
      </c>
      <c r="C346" s="219">
        <v>23958</v>
      </c>
      <c r="D346" s="211">
        <v>37675</v>
      </c>
      <c r="E346" s="211">
        <v>22418</v>
      </c>
      <c r="F346" s="211">
        <v>37342</v>
      </c>
      <c r="G346" s="211">
        <v>37146</v>
      </c>
      <c r="H346" s="211">
        <v>37013</v>
      </c>
    </row>
    <row r="347" spans="1:8" x14ac:dyDescent="0.2">
      <c r="A347" s="210">
        <v>1349000933</v>
      </c>
      <c r="B347" s="210" t="s">
        <v>481</v>
      </c>
      <c r="C347" s="219"/>
      <c r="G347" s="211">
        <v>9295</v>
      </c>
      <c r="H347" s="211">
        <v>116560</v>
      </c>
    </row>
    <row r="348" spans="1:8" x14ac:dyDescent="0.2">
      <c r="A348" s="210">
        <v>1349000934</v>
      </c>
      <c r="B348" s="210" t="s">
        <v>482</v>
      </c>
      <c r="C348" s="219">
        <v>78615</v>
      </c>
      <c r="D348" s="211">
        <v>124320</v>
      </c>
      <c r="E348" s="211">
        <v>59639</v>
      </c>
      <c r="F348" s="211">
        <v>195086</v>
      </c>
      <c r="G348" s="211">
        <v>102866</v>
      </c>
      <c r="H348" s="211">
        <v>186915</v>
      </c>
    </row>
    <row r="349" spans="1:8" x14ac:dyDescent="0.2">
      <c r="A349" s="210">
        <v>1349000935</v>
      </c>
      <c r="B349" s="210" t="s">
        <v>483</v>
      </c>
      <c r="C349" s="219">
        <v>66474</v>
      </c>
      <c r="D349" s="211">
        <v>36500</v>
      </c>
      <c r="E349" s="211">
        <v>44922</v>
      </c>
      <c r="F349" s="211">
        <v>34613</v>
      </c>
      <c r="G349" s="211">
        <v>39320</v>
      </c>
      <c r="H349" s="211">
        <v>32159</v>
      </c>
    </row>
    <row r="350" spans="1:8" x14ac:dyDescent="0.2">
      <c r="A350" s="210">
        <v>1349000936</v>
      </c>
      <c r="B350" s="210" t="s">
        <v>1433</v>
      </c>
      <c r="C350" s="219"/>
    </row>
    <row r="351" spans="1:8" x14ac:dyDescent="0.2">
      <c r="A351" s="210">
        <v>1349000937</v>
      </c>
      <c r="B351" s="210" t="s">
        <v>1434</v>
      </c>
      <c r="C351" s="219"/>
    </row>
    <row r="352" spans="1:8" x14ac:dyDescent="0.2">
      <c r="A352" s="210">
        <v>1349000938</v>
      </c>
      <c r="B352" s="210" t="s">
        <v>484</v>
      </c>
      <c r="C352" s="219">
        <v>37200</v>
      </c>
      <c r="D352" s="211">
        <v>38000</v>
      </c>
      <c r="E352" s="211">
        <v>27445</v>
      </c>
      <c r="F352" s="211">
        <v>39946</v>
      </c>
      <c r="G352" s="211">
        <v>37684</v>
      </c>
      <c r="H352" s="211">
        <v>38202</v>
      </c>
    </row>
    <row r="353" spans="1:8" x14ac:dyDescent="0.2">
      <c r="A353" s="210">
        <v>1349000939</v>
      </c>
      <c r="B353" s="210" t="s">
        <v>1435</v>
      </c>
      <c r="C353" s="219"/>
    </row>
    <row r="354" spans="1:8" x14ac:dyDescent="0.2">
      <c r="A354" s="210">
        <v>1349000941</v>
      </c>
      <c r="B354" s="210" t="s">
        <v>70</v>
      </c>
      <c r="C354" s="219">
        <v>126000</v>
      </c>
      <c r="D354" s="211">
        <v>130500</v>
      </c>
      <c r="E354" s="211">
        <v>94313</v>
      </c>
      <c r="F354" s="211">
        <v>116856</v>
      </c>
      <c r="G354" s="211">
        <v>114215</v>
      </c>
    </row>
    <row r="355" spans="1:8" x14ac:dyDescent="0.2">
      <c r="A355" s="210">
        <v>1349001930</v>
      </c>
      <c r="B355" s="210" t="s">
        <v>1436</v>
      </c>
      <c r="C355" s="219"/>
    </row>
    <row r="356" spans="1:8" x14ac:dyDescent="0.2">
      <c r="A356" s="210">
        <v>1349001931</v>
      </c>
      <c r="B356" s="210" t="s">
        <v>1366</v>
      </c>
      <c r="C356" s="219">
        <v>150000</v>
      </c>
      <c r="D356" s="211">
        <v>146250</v>
      </c>
      <c r="E356" s="211">
        <v>67467</v>
      </c>
      <c r="F356" s="211">
        <v>136711</v>
      </c>
      <c r="G356" s="211">
        <v>145688</v>
      </c>
      <c r="H356" s="211">
        <v>127182</v>
      </c>
    </row>
    <row r="357" spans="1:8" x14ac:dyDescent="0.2">
      <c r="A357" s="210">
        <v>1349001933</v>
      </c>
      <c r="B357" s="210" t="s">
        <v>1437</v>
      </c>
      <c r="C357" s="219"/>
    </row>
    <row r="358" spans="1:8" x14ac:dyDescent="0.2">
      <c r="A358" s="210">
        <v>1349001934</v>
      </c>
      <c r="B358" s="210" t="s">
        <v>485</v>
      </c>
      <c r="C358" s="219"/>
    </row>
    <row r="359" spans="1:8" x14ac:dyDescent="0.2">
      <c r="A359" s="210">
        <v>1349001937</v>
      </c>
      <c r="B359" s="210" t="s">
        <v>486</v>
      </c>
      <c r="C359" s="219">
        <v>11122</v>
      </c>
      <c r="D359" s="211">
        <v>11100</v>
      </c>
      <c r="E359" s="211">
        <v>2371</v>
      </c>
      <c r="F359" s="211">
        <v>10186</v>
      </c>
      <c r="G359" s="211">
        <v>6356</v>
      </c>
      <c r="H359" s="211">
        <v>9707</v>
      </c>
    </row>
    <row r="360" spans="1:8" x14ac:dyDescent="0.2">
      <c r="A360" s="210">
        <v>1349001939</v>
      </c>
      <c r="B360" s="210" t="s">
        <v>487</v>
      </c>
      <c r="C360" s="219">
        <v>15756</v>
      </c>
      <c r="D360" s="211">
        <v>15540</v>
      </c>
      <c r="E360" s="211">
        <v>3215</v>
      </c>
      <c r="F360" s="211">
        <v>11964</v>
      </c>
      <c r="G360" s="211">
        <v>13212</v>
      </c>
      <c r="H360" s="211">
        <v>12786</v>
      </c>
    </row>
    <row r="361" spans="1:8" x14ac:dyDescent="0.2">
      <c r="A361" s="210">
        <v>1349002420</v>
      </c>
      <c r="B361" s="210" t="s">
        <v>1201</v>
      </c>
      <c r="C361" s="219">
        <v>3000</v>
      </c>
      <c r="D361" s="211">
        <v>4000</v>
      </c>
      <c r="E361" s="211">
        <v>1780</v>
      </c>
      <c r="F361" s="211">
        <v>3567</v>
      </c>
      <c r="G361" s="211">
        <v>3740</v>
      </c>
      <c r="H361" s="211">
        <v>2225</v>
      </c>
    </row>
    <row r="362" spans="1:8" x14ac:dyDescent="0.2">
      <c r="A362" s="210">
        <v>1349002930</v>
      </c>
      <c r="B362" s="210" t="s">
        <v>1438</v>
      </c>
      <c r="C362" s="219"/>
    </row>
    <row r="363" spans="1:8" x14ac:dyDescent="0.2">
      <c r="A363" s="210">
        <v>1349002939</v>
      </c>
      <c r="B363" s="210" t="s">
        <v>488</v>
      </c>
      <c r="C363" s="219"/>
      <c r="E363" s="211">
        <v>6124</v>
      </c>
      <c r="G363" s="211">
        <v>1021</v>
      </c>
      <c r="H363" s="211">
        <v>4052</v>
      </c>
    </row>
    <row r="364" spans="1:8" x14ac:dyDescent="0.2">
      <c r="A364" s="210">
        <v>1349300930</v>
      </c>
      <c r="B364" s="210" t="s">
        <v>1439</v>
      </c>
      <c r="C364" s="219"/>
      <c r="H364" s="211">
        <v>9150</v>
      </c>
    </row>
    <row r="365" spans="1:8" x14ac:dyDescent="0.2">
      <c r="A365" s="210">
        <v>1349300931</v>
      </c>
      <c r="B365" s="210" t="s">
        <v>1598</v>
      </c>
      <c r="C365" s="219"/>
      <c r="E365" s="211">
        <v>3750</v>
      </c>
    </row>
    <row r="366" spans="1:8" x14ac:dyDescent="0.2">
      <c r="A366" s="210">
        <v>1360000410</v>
      </c>
      <c r="B366" s="210" t="s">
        <v>342</v>
      </c>
      <c r="C366" s="219">
        <v>30000</v>
      </c>
      <c r="D366" s="211">
        <v>35000</v>
      </c>
      <c r="E366" s="211">
        <v>25310</v>
      </c>
      <c r="F366" s="211">
        <v>38990</v>
      </c>
      <c r="G366" s="211">
        <v>45725</v>
      </c>
      <c r="H366" s="211">
        <v>6184</v>
      </c>
    </row>
    <row r="367" spans="1:8" x14ac:dyDescent="0.2">
      <c r="A367" s="210">
        <v>1392000440</v>
      </c>
      <c r="B367" s="210" t="s">
        <v>1367</v>
      </c>
      <c r="C367" s="219"/>
    </row>
    <row r="368" spans="1:8" x14ac:dyDescent="0.2">
      <c r="A368" s="210">
        <v>1413100211</v>
      </c>
      <c r="B368" s="210" t="s">
        <v>1440</v>
      </c>
      <c r="C368" s="219"/>
      <c r="H368" s="211">
        <v>2449.1</v>
      </c>
    </row>
    <row r="369" spans="1:8" x14ac:dyDescent="0.2">
      <c r="A369" s="210">
        <v>1413100212</v>
      </c>
      <c r="B369" s="210" t="s">
        <v>280</v>
      </c>
      <c r="C369" s="219">
        <f>250000+50000</f>
        <v>300000</v>
      </c>
      <c r="D369" s="211">
        <v>300000</v>
      </c>
      <c r="E369" s="211">
        <v>338418.08</v>
      </c>
      <c r="F369" s="211">
        <v>477743.19</v>
      </c>
      <c r="G369" s="211">
        <v>739032.38</v>
      </c>
      <c r="H369" s="211">
        <v>695407.65</v>
      </c>
    </row>
    <row r="370" spans="1:8" x14ac:dyDescent="0.2">
      <c r="A370" s="210">
        <v>1413100213</v>
      </c>
      <c r="B370" s="210" t="s">
        <v>1441</v>
      </c>
      <c r="C370" s="219"/>
    </row>
    <row r="371" spans="1:8" x14ac:dyDescent="0.2">
      <c r="A371" s="210">
        <v>1413100214</v>
      </c>
      <c r="B371" s="210" t="s">
        <v>1442</v>
      </c>
      <c r="C371" s="219"/>
    </row>
    <row r="372" spans="1:8" x14ac:dyDescent="0.2">
      <c r="A372" s="210">
        <v>1413100215</v>
      </c>
      <c r="B372" s="210" t="s">
        <v>1443</v>
      </c>
      <c r="C372" s="219"/>
    </row>
    <row r="373" spans="1:8" x14ac:dyDescent="0.2">
      <c r="A373" s="210">
        <v>1413100216</v>
      </c>
      <c r="B373" s="210" t="s">
        <v>1444</v>
      </c>
      <c r="C373" s="219">
        <v>2000</v>
      </c>
      <c r="E373" s="211">
        <v>1699.6</v>
      </c>
      <c r="F373" s="211">
        <v>1884.1</v>
      </c>
      <c r="G373" s="211">
        <v>2870.8</v>
      </c>
      <c r="H373" s="211">
        <v>3758.6</v>
      </c>
    </row>
    <row r="374" spans="1:8" x14ac:dyDescent="0.2">
      <c r="A374" s="210">
        <v>1413100217</v>
      </c>
      <c r="B374" s="210" t="s">
        <v>1445</v>
      </c>
      <c r="C374" s="219">
        <f>20000*0.13</f>
        <v>2600</v>
      </c>
      <c r="D374" s="211">
        <v>1000</v>
      </c>
      <c r="E374" s="211">
        <v>13299.3</v>
      </c>
      <c r="F374" s="211">
        <v>1253.33</v>
      </c>
      <c r="G374" s="211">
        <v>2076.09</v>
      </c>
      <c r="H374" s="211">
        <v>2936.8</v>
      </c>
    </row>
    <row r="375" spans="1:8" x14ac:dyDescent="0.2">
      <c r="A375" s="210">
        <v>1413100220</v>
      </c>
      <c r="B375" s="210" t="s">
        <v>0</v>
      </c>
      <c r="C375" s="219"/>
    </row>
    <row r="376" spans="1:8" x14ac:dyDescent="0.2">
      <c r="A376" s="210">
        <v>1413100221</v>
      </c>
      <c r="B376" s="210" t="s">
        <v>343</v>
      </c>
      <c r="C376" s="219">
        <v>2500</v>
      </c>
      <c r="D376" s="211">
        <v>1000</v>
      </c>
      <c r="E376" s="211">
        <v>2383.6999999999998</v>
      </c>
      <c r="F376" s="211">
        <v>2745.5</v>
      </c>
      <c r="G376" s="211">
        <v>2279.6999999999998</v>
      </c>
      <c r="H376" s="211">
        <v>5033.1099999999997</v>
      </c>
    </row>
    <row r="377" spans="1:8" x14ac:dyDescent="0.2">
      <c r="A377" s="210">
        <v>1413200220</v>
      </c>
      <c r="B377" s="210" t="s">
        <v>1</v>
      </c>
      <c r="C377" s="219">
        <v>4000</v>
      </c>
      <c r="D377" s="211">
        <v>5000</v>
      </c>
      <c r="E377" s="211">
        <v>3268.1</v>
      </c>
      <c r="F377" s="211">
        <v>662333.61</v>
      </c>
      <c r="G377" s="211">
        <v>1313494.6000000001</v>
      </c>
      <c r="H377" s="211">
        <v>1633772.74</v>
      </c>
    </row>
    <row r="378" spans="1:8" x14ac:dyDescent="0.2">
      <c r="A378" s="210">
        <v>1413300220</v>
      </c>
      <c r="B378" s="210" t="s">
        <v>2</v>
      </c>
      <c r="C378" s="219"/>
    </row>
    <row r="379" spans="1:8" x14ac:dyDescent="0.2">
      <c r="A379" s="210">
        <v>1433000215</v>
      </c>
      <c r="B379" s="210" t="s">
        <v>344</v>
      </c>
      <c r="C379" s="219">
        <v>20000</v>
      </c>
      <c r="D379" s="211">
        <v>55000</v>
      </c>
      <c r="E379" s="211">
        <v>11657.4</v>
      </c>
      <c r="F379" s="211">
        <v>24647.51</v>
      </c>
      <c r="G379" s="211">
        <v>22150.92</v>
      </c>
      <c r="H379" s="211">
        <v>29404.1</v>
      </c>
    </row>
    <row r="380" spans="1:8" x14ac:dyDescent="0.2">
      <c r="A380" s="210">
        <v>1433000610</v>
      </c>
      <c r="B380" s="210" t="s">
        <v>3</v>
      </c>
      <c r="C380" s="219"/>
    </row>
    <row r="381" spans="1:8" x14ac:dyDescent="0.2">
      <c r="A381" s="210">
        <v>1433000641</v>
      </c>
      <c r="B381" s="210" t="s">
        <v>345</v>
      </c>
      <c r="C381" s="219">
        <f>150000+300000</f>
        <v>450000</v>
      </c>
      <c r="D381" s="211">
        <v>500000</v>
      </c>
      <c r="E381" s="211">
        <v>218703.27</v>
      </c>
      <c r="F381" s="211">
        <v>493475.58</v>
      </c>
      <c r="G381" s="211">
        <v>282611.5</v>
      </c>
      <c r="H381" s="211">
        <v>1548291.29</v>
      </c>
    </row>
    <row r="382" spans="1:8" x14ac:dyDescent="0.2">
      <c r="A382" s="210">
        <v>1433000642</v>
      </c>
      <c r="B382" s="210" t="s">
        <v>346</v>
      </c>
      <c r="C382" s="219">
        <v>1200000</v>
      </c>
      <c r="D382" s="211">
        <v>1120000</v>
      </c>
      <c r="E382" s="211">
        <v>545219.5</v>
      </c>
      <c r="F382" s="211">
        <v>887996.23</v>
      </c>
      <c r="G382" s="211">
        <v>1309232.8999999999</v>
      </c>
      <c r="H382" s="211">
        <v>58793.99</v>
      </c>
    </row>
    <row r="383" spans="1:8" x14ac:dyDescent="0.2">
      <c r="A383" s="210">
        <v>1433000643</v>
      </c>
      <c r="B383" s="210" t="s">
        <v>1110</v>
      </c>
      <c r="C383" s="219"/>
    </row>
    <row r="384" spans="1:8" x14ac:dyDescent="0.2">
      <c r="A384" s="210">
        <v>1433000644</v>
      </c>
      <c r="B384" s="210" t="s">
        <v>347</v>
      </c>
      <c r="C384" s="219">
        <v>280000</v>
      </c>
      <c r="D384" s="211">
        <v>300000</v>
      </c>
      <c r="E384" s="211">
        <v>211548.2</v>
      </c>
      <c r="F384" s="211">
        <v>302792.84000000003</v>
      </c>
      <c r="G384" s="211">
        <v>301911.18</v>
      </c>
      <c r="H384" s="211">
        <v>224285.45</v>
      </c>
    </row>
    <row r="385" spans="1:8" x14ac:dyDescent="0.2">
      <c r="A385" s="210">
        <v>1433000645</v>
      </c>
      <c r="B385" s="210" t="s">
        <v>4</v>
      </c>
      <c r="C385" s="219"/>
    </row>
    <row r="386" spans="1:8" x14ac:dyDescent="0.2">
      <c r="A386" s="210">
        <v>1437000215</v>
      </c>
      <c r="B386" s="210" t="s">
        <v>348</v>
      </c>
      <c r="C386" s="219">
        <v>50000</v>
      </c>
      <c r="D386" s="211">
        <v>85000</v>
      </c>
      <c r="E386" s="211">
        <v>26693.9</v>
      </c>
      <c r="F386" s="211">
        <v>62827.7</v>
      </c>
      <c r="G386" s="211">
        <v>85968.16</v>
      </c>
      <c r="H386" s="211">
        <v>42894.7</v>
      </c>
    </row>
    <row r="387" spans="1:8" x14ac:dyDescent="0.2">
      <c r="A387" s="210">
        <v>1437000640</v>
      </c>
      <c r="B387" s="210" t="s">
        <v>245</v>
      </c>
      <c r="C387" s="219">
        <v>300000</v>
      </c>
      <c r="D387" s="211">
        <v>350000</v>
      </c>
      <c r="E387" s="211">
        <v>195339.8</v>
      </c>
      <c r="F387" s="211">
        <v>257764.4</v>
      </c>
      <c r="G387" s="211">
        <v>301730.90000000002</v>
      </c>
      <c r="H387" s="211">
        <v>291260.09000000003</v>
      </c>
    </row>
    <row r="388" spans="1:8" x14ac:dyDescent="0.2">
      <c r="A388" s="210">
        <v>1437000641</v>
      </c>
      <c r="B388" s="210" t="s">
        <v>5</v>
      </c>
      <c r="C388" s="219"/>
    </row>
    <row r="389" spans="1:8" x14ac:dyDescent="0.2">
      <c r="A389" s="210">
        <v>1439000663</v>
      </c>
      <c r="B389" s="210" t="s">
        <v>1206</v>
      </c>
      <c r="C389" s="219"/>
    </row>
    <row r="390" spans="1:8" x14ac:dyDescent="0.2">
      <c r="A390" s="210">
        <v>1439000690</v>
      </c>
      <c r="B390" s="210" t="s">
        <v>6</v>
      </c>
      <c r="C390" s="219"/>
      <c r="F390" s="211">
        <v>2500</v>
      </c>
      <c r="G390" s="211">
        <v>13500</v>
      </c>
    </row>
    <row r="391" spans="1:8" x14ac:dyDescent="0.2">
      <c r="A391" s="210">
        <v>1443100212</v>
      </c>
      <c r="B391" s="210" t="s">
        <v>7</v>
      </c>
      <c r="C391" s="219"/>
    </row>
    <row r="392" spans="1:8" x14ac:dyDescent="0.2">
      <c r="A392" s="210">
        <v>1443100220</v>
      </c>
      <c r="B392" s="210" t="s">
        <v>350</v>
      </c>
      <c r="C392" s="219">
        <v>10000</v>
      </c>
      <c r="D392" s="211">
        <v>30000</v>
      </c>
      <c r="E392" s="211">
        <v>7080</v>
      </c>
      <c r="F392" s="211">
        <v>29285.5</v>
      </c>
      <c r="G392" s="211">
        <v>6870</v>
      </c>
      <c r="H392" s="211">
        <v>500</v>
      </c>
    </row>
    <row r="393" spans="1:8" x14ac:dyDescent="0.2">
      <c r="A393" s="210">
        <v>1443100290</v>
      </c>
      <c r="B393" s="210" t="s">
        <v>351</v>
      </c>
      <c r="C393" s="219">
        <f>3650000+50000</f>
        <v>3700000</v>
      </c>
      <c r="D393" s="211">
        <v>3650000</v>
      </c>
      <c r="E393" s="211">
        <v>2338985.91</v>
      </c>
      <c r="F393" s="211">
        <v>3616524.37</v>
      </c>
      <c r="G393" s="211">
        <v>3122196.64</v>
      </c>
      <c r="H393" s="211">
        <v>3157117.29</v>
      </c>
    </row>
    <row r="394" spans="1:8" x14ac:dyDescent="0.2">
      <c r="A394" s="210">
        <v>1443100291</v>
      </c>
      <c r="B394" s="210" t="s">
        <v>1599</v>
      </c>
      <c r="C394" s="219">
        <v>200000</v>
      </c>
      <c r="D394" s="211">
        <v>225000</v>
      </c>
      <c r="E394" s="211">
        <v>143363</v>
      </c>
      <c r="F394" s="211">
        <v>161781.07999999999</v>
      </c>
      <c r="G394" s="211">
        <v>159156.41</v>
      </c>
      <c r="H394" s="211">
        <v>95199.4</v>
      </c>
    </row>
    <row r="395" spans="1:8" x14ac:dyDescent="0.2">
      <c r="A395" s="210">
        <v>1443100292</v>
      </c>
      <c r="B395" s="210" t="s">
        <v>353</v>
      </c>
      <c r="C395" s="219">
        <f>567000/9*12</f>
        <v>756000</v>
      </c>
      <c r="D395" s="211">
        <v>250000</v>
      </c>
      <c r="E395" s="211">
        <v>482824.91</v>
      </c>
      <c r="F395" s="211">
        <v>216914.19</v>
      </c>
      <c r="G395" s="211">
        <v>594694.61</v>
      </c>
      <c r="H395" s="211">
        <v>1095051.6200000001</v>
      </c>
    </row>
    <row r="396" spans="1:8" x14ac:dyDescent="0.2">
      <c r="A396" s="210">
        <v>1443100293</v>
      </c>
      <c r="B396" s="210" t="s">
        <v>354</v>
      </c>
      <c r="C396" s="219">
        <v>1350000</v>
      </c>
      <c r="D396" s="211">
        <v>1300000</v>
      </c>
      <c r="E396" s="211">
        <v>994650.4</v>
      </c>
      <c r="F396" s="211">
        <v>1242926.1000000001</v>
      </c>
      <c r="G396" s="211">
        <v>1043986.9</v>
      </c>
      <c r="H396" s="211">
        <v>936758</v>
      </c>
    </row>
    <row r="397" spans="1:8" x14ac:dyDescent="0.2">
      <c r="A397" s="210">
        <v>1443100295</v>
      </c>
      <c r="B397" s="210" t="s">
        <v>1162</v>
      </c>
      <c r="C397" s="219"/>
      <c r="F397" s="211">
        <v>244649.4</v>
      </c>
      <c r="G397" s="211">
        <v>433936.74</v>
      </c>
      <c r="H397" s="211">
        <v>359408.63</v>
      </c>
    </row>
    <row r="398" spans="1:8" x14ac:dyDescent="0.2">
      <c r="A398" s="210">
        <v>1443100296</v>
      </c>
      <c r="B398" s="210" t="s">
        <v>1535</v>
      </c>
      <c r="C398" s="219">
        <f>509000/9*12</f>
        <v>678666.66666666663</v>
      </c>
      <c r="D398" s="211">
        <v>600000</v>
      </c>
      <c r="E398" s="211">
        <v>442349.92</v>
      </c>
      <c r="F398" s="211">
        <v>324104.65999999997</v>
      </c>
    </row>
    <row r="399" spans="1:8" x14ac:dyDescent="0.2">
      <c r="A399" s="210">
        <v>1443100297</v>
      </c>
      <c r="B399" s="210" t="s">
        <v>1534</v>
      </c>
      <c r="C399" s="219">
        <f>22000/8*12-3000</f>
        <v>30000</v>
      </c>
      <c r="D399" s="211">
        <v>16800</v>
      </c>
      <c r="E399" s="211">
        <v>22397.87</v>
      </c>
      <c r="F399" s="211">
        <v>10244.9</v>
      </c>
    </row>
    <row r="400" spans="1:8" x14ac:dyDescent="0.2">
      <c r="A400" s="210">
        <v>1444000490</v>
      </c>
      <c r="B400" s="210" t="s">
        <v>356</v>
      </c>
      <c r="C400" s="219"/>
      <c r="D400" s="211">
        <v>25000</v>
      </c>
      <c r="F400" s="211">
        <v>20835</v>
      </c>
      <c r="G400" s="211">
        <v>30750</v>
      </c>
      <c r="H400" s="211">
        <v>27264</v>
      </c>
    </row>
    <row r="401" spans="1:8" x14ac:dyDescent="0.2">
      <c r="A401" s="210">
        <v>1472000210</v>
      </c>
      <c r="B401" s="210" t="s">
        <v>8</v>
      </c>
      <c r="C401" s="219"/>
    </row>
    <row r="402" spans="1:8" x14ac:dyDescent="0.2">
      <c r="A402" s="210">
        <v>1472000212</v>
      </c>
      <c r="B402" s="210" t="s">
        <v>357</v>
      </c>
      <c r="C402" s="219">
        <f>100000+60000</f>
        <v>160000</v>
      </c>
      <c r="D402" s="211">
        <v>150000</v>
      </c>
      <c r="E402" s="211">
        <v>116477.78</v>
      </c>
      <c r="F402" s="211">
        <v>167057.96</v>
      </c>
      <c r="G402" s="211">
        <v>228408.67</v>
      </c>
      <c r="H402" s="211">
        <v>294281.13</v>
      </c>
    </row>
    <row r="403" spans="1:8" x14ac:dyDescent="0.2">
      <c r="A403" s="210">
        <v>1472000213</v>
      </c>
      <c r="B403" s="210" t="s">
        <v>358</v>
      </c>
      <c r="C403" s="219"/>
      <c r="F403" s="211">
        <v>2413926</v>
      </c>
      <c r="H403" s="211">
        <v>2943000</v>
      </c>
    </row>
    <row r="404" spans="1:8" x14ac:dyDescent="0.2">
      <c r="A404" s="210">
        <v>1472000214</v>
      </c>
      <c r="B404" s="210" t="s">
        <v>9</v>
      </c>
      <c r="C404" s="219"/>
    </row>
    <row r="405" spans="1:8" x14ac:dyDescent="0.2">
      <c r="A405" s="210">
        <v>1472000215</v>
      </c>
      <c r="B405" s="210" t="s">
        <v>359</v>
      </c>
      <c r="C405" s="219">
        <v>0</v>
      </c>
      <c r="D405" s="211">
        <v>1000</v>
      </c>
      <c r="E405" s="211">
        <v>175.2</v>
      </c>
      <c r="F405" s="211">
        <v>1276.2</v>
      </c>
      <c r="G405" s="211">
        <v>8366.2999999999993</v>
      </c>
      <c r="H405" s="211">
        <v>28103.05</v>
      </c>
    </row>
    <row r="406" spans="1:8" x14ac:dyDescent="0.2">
      <c r="A406" s="210">
        <v>1472000990</v>
      </c>
      <c r="B406" s="210" t="s">
        <v>1209</v>
      </c>
      <c r="C406" s="219"/>
    </row>
    <row r="407" spans="1:8" x14ac:dyDescent="0.2">
      <c r="A407" s="210">
        <v>1570000920</v>
      </c>
      <c r="B407" s="210" t="s">
        <v>71</v>
      </c>
      <c r="C407" s="219"/>
      <c r="H407" s="211">
        <v>530000</v>
      </c>
    </row>
    <row r="408" spans="1:8" x14ac:dyDescent="0.2">
      <c r="A408" s="210">
        <v>1571000920</v>
      </c>
      <c r="B408" s="210" t="s">
        <v>97</v>
      </c>
      <c r="C408" s="219"/>
    </row>
    <row r="409" spans="1:8" x14ac:dyDescent="0.2">
      <c r="A409" s="210">
        <v>1594000590</v>
      </c>
      <c r="B409" s="210" t="s">
        <v>1212</v>
      </c>
      <c r="C409" s="219">
        <v>250000</v>
      </c>
      <c r="D409" s="211">
        <v>821527</v>
      </c>
      <c r="E409" s="211">
        <v>818158.1</v>
      </c>
      <c r="F409" s="211">
        <v>682869.85</v>
      </c>
      <c r="G409" s="211">
        <v>209774.31</v>
      </c>
      <c r="H409" s="211">
        <v>919280.68</v>
      </c>
    </row>
    <row r="410" spans="1:8" x14ac:dyDescent="0.2">
      <c r="A410" s="210">
        <v>1594000591</v>
      </c>
      <c r="B410" s="210" t="s">
        <v>10</v>
      </c>
      <c r="C410" s="219"/>
      <c r="G410" s="211">
        <v>2</v>
      </c>
    </row>
    <row r="411" spans="1:8" x14ac:dyDescent="0.2">
      <c r="A411" s="210">
        <v>1594100590</v>
      </c>
      <c r="B411" s="210" t="s">
        <v>1213</v>
      </c>
      <c r="C411" s="219">
        <f>1000000+1000000+500000+50000</f>
        <v>2550000</v>
      </c>
      <c r="D411" s="211">
        <v>3352821</v>
      </c>
      <c r="E411" s="211">
        <v>1615000</v>
      </c>
      <c r="F411" s="211">
        <v>10307260.039999999</v>
      </c>
    </row>
    <row r="412" spans="1:8" x14ac:dyDescent="0.2">
      <c r="A412" s="210">
        <v>1594101590</v>
      </c>
      <c r="B412" s="210" t="s">
        <v>11</v>
      </c>
      <c r="C412" s="219"/>
    </row>
    <row r="413" spans="1:8" x14ac:dyDescent="0.2">
      <c r="A413" s="210">
        <v>1594200590</v>
      </c>
      <c r="B413" s="210" t="s">
        <v>12</v>
      </c>
      <c r="C413" s="219"/>
    </row>
    <row r="414" spans="1:8" x14ac:dyDescent="0.2">
      <c r="A414" s="210">
        <v>1599000980</v>
      </c>
      <c r="B414" s="210" t="s">
        <v>1214</v>
      </c>
      <c r="C414" s="219"/>
      <c r="F414" s="211">
        <v>3570000</v>
      </c>
      <c r="G414" s="211">
        <v>3894701</v>
      </c>
    </row>
    <row r="415" spans="1:8" x14ac:dyDescent="0.2">
      <c r="A415" s="210">
        <v>1599100910</v>
      </c>
      <c r="B415" s="210" t="s">
        <v>241</v>
      </c>
      <c r="C415" s="219"/>
    </row>
    <row r="416" spans="1:8" x14ac:dyDescent="0.2">
      <c r="A416" s="210">
        <v>1599999999</v>
      </c>
      <c r="B416" s="210" t="s">
        <v>98</v>
      </c>
      <c r="C416" s="224"/>
      <c r="D416" s="212"/>
      <c r="E416" s="212"/>
      <c r="F416" s="212"/>
      <c r="G416" s="212"/>
      <c r="H416" s="212"/>
    </row>
    <row r="417" spans="1:8" s="208" customFormat="1" x14ac:dyDescent="0.2">
      <c r="C417" s="209">
        <f t="shared" ref="C417:H417" si="0">SUM(C2:C416)</f>
        <v>380977390.65575755</v>
      </c>
      <c r="D417" s="209">
        <f t="shared" si="0"/>
        <v>363904455</v>
      </c>
      <c r="E417" s="209">
        <f t="shared" si="0"/>
        <v>257427784.49000004</v>
      </c>
      <c r="F417" s="209">
        <f t="shared" si="0"/>
        <v>366571047.2899999</v>
      </c>
      <c r="G417" s="209">
        <f t="shared" si="0"/>
        <v>341399402.04000002</v>
      </c>
      <c r="H417" s="209">
        <f t="shared" si="0"/>
        <v>338290306.20000029</v>
      </c>
    </row>
    <row r="418" spans="1:8" x14ac:dyDescent="0.2">
      <c r="A418" s="210">
        <v>1610000399</v>
      </c>
      <c r="B418" s="210" t="s">
        <v>24</v>
      </c>
    </row>
    <row r="419" spans="1:8" x14ac:dyDescent="0.2">
      <c r="A419" s="210">
        <v>1610000811</v>
      </c>
      <c r="B419" s="210" t="s">
        <v>242</v>
      </c>
    </row>
    <row r="420" spans="1:8" x14ac:dyDescent="0.2">
      <c r="A420" s="210">
        <v>1610000910</v>
      </c>
      <c r="B420" s="210" t="s">
        <v>704</v>
      </c>
    </row>
    <row r="421" spans="1:8" x14ac:dyDescent="0.2">
      <c r="A421" s="210">
        <v>1610000981</v>
      </c>
      <c r="B421" s="210" t="s">
        <v>73</v>
      </c>
      <c r="G421" s="211">
        <v>1092</v>
      </c>
    </row>
    <row r="422" spans="1:8" x14ac:dyDescent="0.2">
      <c r="A422" s="210">
        <v>1611000110</v>
      </c>
      <c r="B422" s="210" t="s">
        <v>511</v>
      </c>
      <c r="C422" s="219">
        <v>2340580</v>
      </c>
      <c r="D422" s="211">
        <v>2150868</v>
      </c>
      <c r="E422" s="211">
        <v>1610828.76</v>
      </c>
      <c r="F422" s="211">
        <v>2210188.4700000002</v>
      </c>
      <c r="G422" s="211">
        <v>2118892.25</v>
      </c>
      <c r="H422" s="211">
        <v>2027283</v>
      </c>
    </row>
    <row r="423" spans="1:8" x14ac:dyDescent="0.2">
      <c r="A423" s="210">
        <v>1611000210</v>
      </c>
      <c r="B423" s="210" t="s">
        <v>246</v>
      </c>
      <c r="C423" s="219">
        <v>28001</v>
      </c>
      <c r="E423" s="211">
        <v>2149.9299999999998</v>
      </c>
      <c r="F423" s="211">
        <v>1559.92</v>
      </c>
      <c r="G423" s="211">
        <v>50094.8</v>
      </c>
      <c r="H423" s="211">
        <v>8016.4</v>
      </c>
    </row>
    <row r="424" spans="1:8" x14ac:dyDescent="0.2">
      <c r="A424" s="210">
        <v>1611000511</v>
      </c>
      <c r="B424" s="210" t="s">
        <v>544</v>
      </c>
      <c r="C424" s="219">
        <v>60000</v>
      </c>
      <c r="D424" s="211">
        <v>60000</v>
      </c>
      <c r="E424" s="211">
        <v>25258.59</v>
      </c>
      <c r="F424" s="211">
        <v>50163.78</v>
      </c>
      <c r="G424" s="211">
        <v>55203.61</v>
      </c>
      <c r="H424" s="211">
        <v>47901.65</v>
      </c>
    </row>
    <row r="425" spans="1:8" x14ac:dyDescent="0.2">
      <c r="A425" s="210">
        <v>1611000512</v>
      </c>
      <c r="B425" s="210" t="s">
        <v>545</v>
      </c>
      <c r="C425" s="219">
        <v>6000</v>
      </c>
      <c r="D425" s="211">
        <v>6000</v>
      </c>
      <c r="E425" s="211">
        <v>6824</v>
      </c>
      <c r="F425" s="211">
        <v>2042.2</v>
      </c>
      <c r="G425" s="211">
        <v>8241.42</v>
      </c>
      <c r="H425" s="211">
        <v>4994</v>
      </c>
    </row>
    <row r="426" spans="1:8" x14ac:dyDescent="0.2">
      <c r="A426" s="210">
        <v>1611000514</v>
      </c>
      <c r="B426" s="210" t="s">
        <v>546</v>
      </c>
      <c r="C426" s="219">
        <v>6000</v>
      </c>
      <c r="D426" s="211">
        <v>12000</v>
      </c>
      <c r="E426" s="211">
        <v>640</v>
      </c>
      <c r="F426" s="211">
        <v>6292</v>
      </c>
      <c r="G426" s="211">
        <v>12372</v>
      </c>
      <c r="H426" s="211">
        <v>9890</v>
      </c>
    </row>
    <row r="427" spans="1:8" x14ac:dyDescent="0.2">
      <c r="A427" s="210">
        <v>1611000521</v>
      </c>
      <c r="B427" s="210" t="s">
        <v>547</v>
      </c>
      <c r="C427" s="219">
        <v>9000</v>
      </c>
      <c r="D427" s="211">
        <v>9136</v>
      </c>
      <c r="E427" s="211">
        <v>7736.25</v>
      </c>
      <c r="F427" s="211">
        <v>15780</v>
      </c>
      <c r="G427" s="211">
        <v>26000</v>
      </c>
      <c r="H427" s="211">
        <v>12316</v>
      </c>
    </row>
    <row r="428" spans="1:8" x14ac:dyDescent="0.2">
      <c r="A428" s="210">
        <v>1611000522</v>
      </c>
      <c r="B428" s="210" t="s">
        <v>548</v>
      </c>
      <c r="C428" s="219">
        <v>20500</v>
      </c>
      <c r="D428" s="211">
        <v>21860</v>
      </c>
      <c r="E428" s="211">
        <v>18726.240000000002</v>
      </c>
      <c r="F428" s="211">
        <v>23561.759999999998</v>
      </c>
      <c r="G428" s="211">
        <v>45966.71</v>
      </c>
      <c r="H428" s="211">
        <v>28881.7</v>
      </c>
    </row>
    <row r="429" spans="1:8" x14ac:dyDescent="0.2">
      <c r="A429" s="210">
        <v>1611000523</v>
      </c>
      <c r="B429" s="210" t="s">
        <v>549</v>
      </c>
      <c r="C429" s="219">
        <v>3800</v>
      </c>
      <c r="D429" s="211">
        <v>4000</v>
      </c>
      <c r="E429" s="211">
        <v>3800</v>
      </c>
      <c r="F429" s="211">
        <v>3000</v>
      </c>
      <c r="G429" s="211">
        <v>4000</v>
      </c>
      <c r="H429" s="211">
        <v>3600</v>
      </c>
    </row>
    <row r="430" spans="1:8" x14ac:dyDescent="0.2">
      <c r="A430" s="210">
        <v>1611000530</v>
      </c>
      <c r="B430" s="210" t="s">
        <v>13</v>
      </c>
      <c r="C430" s="219"/>
      <c r="F430" s="211">
        <v>69.09</v>
      </c>
    </row>
    <row r="431" spans="1:8" x14ac:dyDescent="0.2">
      <c r="A431" s="210">
        <v>1611000560</v>
      </c>
      <c r="B431" s="210" t="s">
        <v>550</v>
      </c>
      <c r="C431" s="219">
        <v>18000</v>
      </c>
      <c r="D431" s="211">
        <v>20000</v>
      </c>
      <c r="E431" s="211">
        <v>3119.81</v>
      </c>
      <c r="F431" s="211">
        <v>8527.3799999999992</v>
      </c>
      <c r="G431" s="211">
        <v>12605.43</v>
      </c>
      <c r="H431" s="211">
        <v>11932.2</v>
      </c>
    </row>
    <row r="432" spans="1:8" x14ac:dyDescent="0.2">
      <c r="A432" s="210">
        <v>1611000580</v>
      </c>
      <c r="B432" s="210" t="s">
        <v>551</v>
      </c>
      <c r="C432" s="219">
        <f>18000-7800</f>
        <v>10200</v>
      </c>
      <c r="D432" s="211">
        <v>20000</v>
      </c>
      <c r="E432" s="211">
        <v>10662.24</v>
      </c>
      <c r="F432" s="211">
        <v>19185.82</v>
      </c>
      <c r="G432" s="211">
        <v>24582.19</v>
      </c>
      <c r="H432" s="211">
        <v>15211.87</v>
      </c>
    </row>
    <row r="433" spans="1:8" x14ac:dyDescent="0.2">
      <c r="A433" s="210">
        <v>1611000581</v>
      </c>
      <c r="B433" s="276" t="s">
        <v>1669</v>
      </c>
      <c r="C433" s="219">
        <f>135*12+515*12+350*12+25*12</f>
        <v>12300</v>
      </c>
    </row>
    <row r="434" spans="1:8" x14ac:dyDescent="0.2">
      <c r="A434" s="210">
        <v>1611000731</v>
      </c>
      <c r="B434" s="210" t="s">
        <v>14</v>
      </c>
      <c r="C434" s="219"/>
    </row>
    <row r="435" spans="1:8" x14ac:dyDescent="0.2">
      <c r="A435" s="210">
        <v>1611000760</v>
      </c>
      <c r="B435" s="210" t="s">
        <v>552</v>
      </c>
      <c r="C435" s="219">
        <v>38000</v>
      </c>
      <c r="D435" s="211">
        <v>19000</v>
      </c>
      <c r="E435" s="211">
        <v>12599.92</v>
      </c>
      <c r="F435" s="211">
        <v>18919.88</v>
      </c>
      <c r="G435" s="211">
        <v>32018.26</v>
      </c>
      <c r="H435" s="211">
        <v>32696.17</v>
      </c>
    </row>
    <row r="436" spans="1:8" x14ac:dyDescent="0.2">
      <c r="A436" s="210">
        <v>1611000780</v>
      </c>
      <c r="B436" s="210" t="s">
        <v>553</v>
      </c>
      <c r="C436" s="219">
        <v>35000</v>
      </c>
      <c r="D436" s="211">
        <v>35000</v>
      </c>
      <c r="E436" s="211">
        <v>22767.14</v>
      </c>
      <c r="F436" s="211">
        <v>31531.73</v>
      </c>
      <c r="G436" s="211">
        <v>28686</v>
      </c>
      <c r="H436" s="211">
        <v>18587.7</v>
      </c>
    </row>
    <row r="437" spans="1:8" x14ac:dyDescent="0.2">
      <c r="A437" s="210">
        <v>1611000930</v>
      </c>
      <c r="B437" s="210" t="s">
        <v>554</v>
      </c>
      <c r="C437" s="219">
        <v>25000</v>
      </c>
      <c r="D437" s="211">
        <v>25000</v>
      </c>
      <c r="E437" s="211">
        <v>6090</v>
      </c>
      <c r="F437" s="211">
        <v>12744.6</v>
      </c>
      <c r="G437" s="211">
        <v>18790.75</v>
      </c>
      <c r="H437" s="211">
        <v>11785</v>
      </c>
    </row>
    <row r="438" spans="1:8" x14ac:dyDescent="0.2">
      <c r="A438" s="210">
        <v>1611000970</v>
      </c>
      <c r="B438" s="210" t="s">
        <v>555</v>
      </c>
      <c r="C438" s="219">
        <v>96000</v>
      </c>
      <c r="D438" s="211">
        <v>96000</v>
      </c>
      <c r="E438" s="211">
        <v>64000</v>
      </c>
      <c r="F438" s="211">
        <v>96000</v>
      </c>
      <c r="G438" s="211">
        <v>96000</v>
      </c>
      <c r="H438" s="211">
        <v>88000</v>
      </c>
    </row>
    <row r="439" spans="1:8" x14ac:dyDescent="0.2">
      <c r="A439" s="210">
        <v>1611000980</v>
      </c>
      <c r="B439" s="210" t="s">
        <v>556</v>
      </c>
      <c r="C439" s="219">
        <f>180000-4500</f>
        <v>175500</v>
      </c>
      <c r="D439" s="211">
        <v>170004</v>
      </c>
      <c r="E439" s="211">
        <v>88008.91</v>
      </c>
      <c r="F439" s="211">
        <v>130126.23</v>
      </c>
      <c r="G439" s="211">
        <v>142613.28</v>
      </c>
      <c r="H439" s="211">
        <v>118873.62</v>
      </c>
    </row>
    <row r="440" spans="1:8" x14ac:dyDescent="0.2">
      <c r="A440" s="210">
        <v>1611000981</v>
      </c>
      <c r="B440" s="210" t="s">
        <v>1577</v>
      </c>
      <c r="C440" s="219">
        <f>10000+90000</f>
        <v>100000</v>
      </c>
      <c r="D440" s="211">
        <v>50000</v>
      </c>
      <c r="E440" s="211">
        <v>24954.9</v>
      </c>
    </row>
    <row r="441" spans="1:8" x14ac:dyDescent="0.2">
      <c r="A441" s="210">
        <v>1611001530</v>
      </c>
      <c r="B441" s="210" t="s">
        <v>15</v>
      </c>
      <c r="C441" s="219">
        <v>94242</v>
      </c>
      <c r="D441" s="211">
        <v>104000</v>
      </c>
      <c r="E441" s="211">
        <v>68447.34</v>
      </c>
      <c r="F441" s="211">
        <v>105517.54</v>
      </c>
      <c r="G441" s="211">
        <v>104660.24</v>
      </c>
    </row>
    <row r="442" spans="1:8" x14ac:dyDescent="0.2">
      <c r="A442" s="210">
        <v>1611001731</v>
      </c>
      <c r="B442" s="210" t="s">
        <v>1533</v>
      </c>
      <c r="C442" s="219"/>
      <c r="G442" s="211">
        <v>1320.18</v>
      </c>
      <c r="H442" s="211">
        <v>123357.31</v>
      </c>
    </row>
    <row r="443" spans="1:8" x14ac:dyDescent="0.2">
      <c r="A443" s="210">
        <v>1611002731</v>
      </c>
      <c r="B443" s="210" t="s">
        <v>1532</v>
      </c>
      <c r="C443" s="219">
        <v>16361</v>
      </c>
      <c r="D443" s="211">
        <v>14000</v>
      </c>
      <c r="E443" s="211">
        <v>3816.62</v>
      </c>
      <c r="F443" s="211">
        <v>14509.53</v>
      </c>
    </row>
    <row r="444" spans="1:8" x14ac:dyDescent="0.2">
      <c r="A444" s="210">
        <v>1611100110</v>
      </c>
      <c r="B444" s="210" t="s">
        <v>512</v>
      </c>
      <c r="C444" s="219">
        <v>1956547</v>
      </c>
      <c r="D444" s="211">
        <v>1912782</v>
      </c>
      <c r="E444" s="211">
        <v>1436884.39</v>
      </c>
      <c r="F444" s="211">
        <v>1838846.99</v>
      </c>
      <c r="G444" s="211">
        <v>1728063.45</v>
      </c>
      <c r="H444" s="211">
        <v>2227808.89</v>
      </c>
    </row>
    <row r="445" spans="1:8" x14ac:dyDescent="0.2">
      <c r="A445" s="210">
        <v>1611100441</v>
      </c>
      <c r="B445" s="210" t="s">
        <v>558</v>
      </c>
      <c r="C445" s="219">
        <v>60500</v>
      </c>
      <c r="D445" s="211">
        <v>60500</v>
      </c>
      <c r="E445" s="211">
        <v>52265</v>
      </c>
      <c r="F445" s="211">
        <v>60000</v>
      </c>
      <c r="G445" s="211">
        <v>57075</v>
      </c>
      <c r="H445" s="211">
        <v>45415</v>
      </c>
    </row>
    <row r="446" spans="1:8" x14ac:dyDescent="0.2">
      <c r="A446" s="210">
        <v>1611100530</v>
      </c>
      <c r="B446" s="210" t="s">
        <v>99</v>
      </c>
      <c r="C446" s="219">
        <v>0</v>
      </c>
      <c r="D446" s="211">
        <v>22775</v>
      </c>
      <c r="E446" s="211">
        <v>37587.269999999997</v>
      </c>
      <c r="F446" s="211">
        <v>78727.210000000006</v>
      </c>
      <c r="G446" s="211">
        <v>95074.39</v>
      </c>
      <c r="H446" s="211">
        <v>77395.03</v>
      </c>
    </row>
    <row r="447" spans="1:8" x14ac:dyDescent="0.2">
      <c r="A447" s="210">
        <v>1611100531</v>
      </c>
      <c r="B447" s="210" t="s">
        <v>16</v>
      </c>
      <c r="C447" s="219"/>
    </row>
    <row r="448" spans="1:8" x14ac:dyDescent="0.2">
      <c r="A448" s="210">
        <v>1611120530</v>
      </c>
      <c r="B448" s="210" t="s">
        <v>100</v>
      </c>
      <c r="C448" s="219">
        <v>87078</v>
      </c>
      <c r="D448" s="211">
        <v>85000</v>
      </c>
      <c r="E448" s="211">
        <v>59778.71</v>
      </c>
      <c r="F448" s="211">
        <v>90119.03</v>
      </c>
      <c r="G448" s="211">
        <v>84471.16</v>
      </c>
      <c r="H448" s="211">
        <v>75756.09</v>
      </c>
    </row>
    <row r="449" spans="1:8" x14ac:dyDescent="0.2">
      <c r="A449" s="210">
        <v>1611130530</v>
      </c>
      <c r="B449" s="210" t="s">
        <v>17</v>
      </c>
      <c r="C449" s="219"/>
    </row>
    <row r="450" spans="1:8" x14ac:dyDescent="0.2">
      <c r="A450" s="210">
        <v>1611200530</v>
      </c>
      <c r="B450" s="210" t="s">
        <v>18</v>
      </c>
      <c r="C450" s="219"/>
    </row>
    <row r="451" spans="1:8" x14ac:dyDescent="0.2">
      <c r="A451" s="210">
        <v>1612000110</v>
      </c>
      <c r="B451" s="210" t="s">
        <v>513</v>
      </c>
      <c r="C451" s="219">
        <v>405353</v>
      </c>
      <c r="D451" s="211">
        <v>530785</v>
      </c>
      <c r="E451" s="211">
        <v>330034.09000000003</v>
      </c>
      <c r="F451" s="211">
        <v>514480.67</v>
      </c>
      <c r="G451" s="211">
        <v>396411.96</v>
      </c>
      <c r="H451" s="211">
        <v>171910.86</v>
      </c>
    </row>
    <row r="452" spans="1:8" x14ac:dyDescent="0.2">
      <c r="A452" s="210">
        <v>1612000440</v>
      </c>
      <c r="B452" s="210" t="s">
        <v>561</v>
      </c>
      <c r="C452" s="219">
        <v>17950</v>
      </c>
      <c r="D452" s="211">
        <v>17950</v>
      </c>
      <c r="E452" s="211">
        <v>14262.2</v>
      </c>
      <c r="F452" s="211">
        <v>21211.8</v>
      </c>
      <c r="G452" s="211">
        <v>17073</v>
      </c>
      <c r="H452" s="211">
        <v>12750</v>
      </c>
    </row>
    <row r="453" spans="1:8" x14ac:dyDescent="0.2">
      <c r="A453" s="210">
        <v>1612000511</v>
      </c>
      <c r="B453" s="210" t="s">
        <v>19</v>
      </c>
      <c r="C453" s="219">
        <v>1000</v>
      </c>
      <c r="D453" s="211">
        <v>1000</v>
      </c>
      <c r="E453" s="211">
        <v>1000</v>
      </c>
      <c r="F453" s="211">
        <v>1000</v>
      </c>
      <c r="G453" s="211">
        <v>1000</v>
      </c>
      <c r="H453" s="211">
        <v>504.27</v>
      </c>
    </row>
    <row r="454" spans="1:8" x14ac:dyDescent="0.2">
      <c r="A454" s="210">
        <v>1612000521</v>
      </c>
      <c r="B454" s="210" t="s">
        <v>562</v>
      </c>
      <c r="C454" s="219">
        <v>4500</v>
      </c>
      <c r="D454" s="211">
        <v>3600</v>
      </c>
      <c r="E454" s="211">
        <v>3300</v>
      </c>
      <c r="F454" s="211">
        <v>2600</v>
      </c>
    </row>
    <row r="455" spans="1:8" x14ac:dyDescent="0.2">
      <c r="A455" s="210">
        <v>1612000522</v>
      </c>
      <c r="B455" s="210" t="s">
        <v>563</v>
      </c>
      <c r="C455" s="219">
        <v>0</v>
      </c>
      <c r="D455" s="211">
        <v>1000</v>
      </c>
      <c r="E455" s="211">
        <v>1000</v>
      </c>
      <c r="G455" s="211">
        <v>2850</v>
      </c>
    </row>
    <row r="456" spans="1:8" x14ac:dyDescent="0.2">
      <c r="A456" s="210">
        <v>1612000523</v>
      </c>
      <c r="B456" s="210" t="s">
        <v>564</v>
      </c>
      <c r="C456" s="219">
        <v>1100</v>
      </c>
      <c r="F456" s="211">
        <v>1000</v>
      </c>
      <c r="G456" s="211">
        <v>295</v>
      </c>
    </row>
    <row r="457" spans="1:8" x14ac:dyDescent="0.2">
      <c r="A457" s="210">
        <v>1612000530</v>
      </c>
      <c r="B457" s="210" t="s">
        <v>1531</v>
      </c>
      <c r="C457" s="219">
        <v>77686</v>
      </c>
      <c r="D457" s="211">
        <v>75000</v>
      </c>
      <c r="E457" s="211">
        <v>51848.11</v>
      </c>
      <c r="F457" s="211">
        <v>74247.97</v>
      </c>
      <c r="G457" s="211">
        <v>37474.94</v>
      </c>
      <c r="H457" s="211">
        <v>14117.42</v>
      </c>
    </row>
    <row r="458" spans="1:8" x14ac:dyDescent="0.2">
      <c r="A458" s="210">
        <v>1612000560</v>
      </c>
      <c r="B458" s="210" t="s">
        <v>566</v>
      </c>
      <c r="C458" s="219">
        <f>1000-300</f>
        <v>700</v>
      </c>
      <c r="D458" s="211">
        <v>1000</v>
      </c>
      <c r="E458" s="211">
        <v>583.1</v>
      </c>
      <c r="F458" s="211">
        <v>556.63</v>
      </c>
      <c r="G458" s="211">
        <v>1872.52</v>
      </c>
      <c r="H458" s="211">
        <v>2281.2399999999998</v>
      </c>
    </row>
    <row r="459" spans="1:8" x14ac:dyDescent="0.2">
      <c r="A459" s="210">
        <v>1612000780</v>
      </c>
      <c r="B459" s="210" t="s">
        <v>567</v>
      </c>
      <c r="C459" s="219">
        <v>6500</v>
      </c>
      <c r="D459" s="211">
        <v>5000</v>
      </c>
      <c r="E459" s="211">
        <v>3344</v>
      </c>
      <c r="F459" s="211">
        <v>6991.28</v>
      </c>
      <c r="G459" s="211">
        <v>16170</v>
      </c>
      <c r="H459" s="211">
        <v>504.27</v>
      </c>
    </row>
    <row r="460" spans="1:8" x14ac:dyDescent="0.2">
      <c r="A460" s="210">
        <v>1612000581</v>
      </c>
      <c r="B460" s="276" t="s">
        <v>1670</v>
      </c>
      <c r="C460" s="219">
        <f>25*12</f>
        <v>300</v>
      </c>
    </row>
    <row r="461" spans="1:8" x14ac:dyDescent="0.2">
      <c r="A461" s="210">
        <v>1612000930</v>
      </c>
      <c r="B461" s="210" t="s">
        <v>568</v>
      </c>
      <c r="C461" s="219"/>
    </row>
    <row r="462" spans="1:8" x14ac:dyDescent="0.2">
      <c r="A462" s="210">
        <v>1613000110</v>
      </c>
      <c r="B462" s="210" t="s">
        <v>514</v>
      </c>
      <c r="C462" s="219">
        <f>1266505+4560</f>
        <v>1271065</v>
      </c>
      <c r="D462" s="211">
        <v>1246704</v>
      </c>
      <c r="E462" s="211">
        <v>951173.2</v>
      </c>
      <c r="F462" s="211">
        <v>1233077.75</v>
      </c>
      <c r="G462" s="211">
        <v>1222486.58</v>
      </c>
      <c r="H462" s="211">
        <v>1157788.47</v>
      </c>
    </row>
    <row r="463" spans="1:8" x14ac:dyDescent="0.2">
      <c r="A463" s="210">
        <v>1613000440</v>
      </c>
      <c r="B463" s="210" t="s">
        <v>558</v>
      </c>
      <c r="C463" s="219">
        <v>17950</v>
      </c>
      <c r="D463" s="211">
        <v>17950</v>
      </c>
      <c r="E463" s="211">
        <v>14262.2</v>
      </c>
      <c r="F463" s="211">
        <v>21211.8</v>
      </c>
      <c r="G463" s="211">
        <v>29114.66</v>
      </c>
      <c r="H463" s="211">
        <v>16672.5</v>
      </c>
    </row>
    <row r="464" spans="1:8" x14ac:dyDescent="0.2">
      <c r="A464" s="210">
        <v>1613000470</v>
      </c>
      <c r="B464" s="210" t="s">
        <v>569</v>
      </c>
      <c r="C464" s="219">
        <v>0</v>
      </c>
      <c r="F464" s="211">
        <v>1104</v>
      </c>
      <c r="G464" s="211">
        <v>2000</v>
      </c>
      <c r="H464" s="211">
        <v>400</v>
      </c>
    </row>
    <row r="465" spans="1:8" x14ac:dyDescent="0.2">
      <c r="A465" s="210">
        <v>1613000512</v>
      </c>
      <c r="B465" s="210" t="s">
        <v>570</v>
      </c>
      <c r="C465" s="219"/>
    </row>
    <row r="466" spans="1:8" x14ac:dyDescent="0.2">
      <c r="A466" s="210">
        <v>1613000520</v>
      </c>
      <c r="B466" s="210" t="s">
        <v>571</v>
      </c>
      <c r="C466" s="219">
        <v>2000</v>
      </c>
      <c r="D466" s="211">
        <v>1733</v>
      </c>
      <c r="E466" s="211">
        <v>1733</v>
      </c>
      <c r="F466" s="211">
        <v>2618</v>
      </c>
      <c r="G466" s="211">
        <v>2635.1</v>
      </c>
      <c r="H466" s="211">
        <v>1999</v>
      </c>
    </row>
    <row r="467" spans="1:8" x14ac:dyDescent="0.2">
      <c r="A467" s="210">
        <v>1613000521</v>
      </c>
      <c r="B467" s="210" t="s">
        <v>572</v>
      </c>
      <c r="C467" s="219">
        <v>4500</v>
      </c>
      <c r="D467" s="211">
        <v>4430</v>
      </c>
      <c r="E467" s="211">
        <v>4430</v>
      </c>
      <c r="F467" s="211">
        <v>5000</v>
      </c>
      <c r="G467" s="211">
        <v>7316</v>
      </c>
      <c r="H467" s="211">
        <v>3000</v>
      </c>
    </row>
    <row r="468" spans="1:8" x14ac:dyDescent="0.2">
      <c r="A468" s="210">
        <v>1613000522</v>
      </c>
      <c r="B468" s="210" t="s">
        <v>573</v>
      </c>
      <c r="C468" s="219">
        <v>6000</v>
      </c>
      <c r="D468" s="211">
        <v>4910</v>
      </c>
      <c r="E468" s="211">
        <v>1900.27</v>
      </c>
      <c r="F468" s="211">
        <v>5490</v>
      </c>
      <c r="G468" s="211">
        <v>5024.72</v>
      </c>
      <c r="H468" s="211">
        <v>4767.5</v>
      </c>
    </row>
    <row r="469" spans="1:8" x14ac:dyDescent="0.2">
      <c r="A469" s="210">
        <v>1613000523</v>
      </c>
      <c r="B469" s="210" t="s">
        <v>574</v>
      </c>
      <c r="C469" s="219">
        <v>1700</v>
      </c>
      <c r="D469" s="211">
        <v>1500</v>
      </c>
      <c r="E469" s="211">
        <v>1500</v>
      </c>
      <c r="F469" s="211">
        <v>1500</v>
      </c>
      <c r="G469" s="211">
        <v>1750</v>
      </c>
      <c r="H469" s="211">
        <v>1500</v>
      </c>
    </row>
    <row r="470" spans="1:8" x14ac:dyDescent="0.2">
      <c r="A470" s="210">
        <v>1613000530</v>
      </c>
      <c r="B470" s="210" t="s">
        <v>101</v>
      </c>
      <c r="C470" s="219">
        <v>68363</v>
      </c>
      <c r="D470" s="211">
        <v>75000</v>
      </c>
      <c r="E470" s="211">
        <v>47206.63</v>
      </c>
      <c r="F470" s="211">
        <v>74572.05</v>
      </c>
      <c r="G470" s="211">
        <v>74078.59</v>
      </c>
      <c r="H470" s="211">
        <v>70745.63</v>
      </c>
    </row>
    <row r="471" spans="1:8" x14ac:dyDescent="0.2">
      <c r="A471" s="210">
        <v>1613000560</v>
      </c>
      <c r="B471" s="210" t="s">
        <v>576</v>
      </c>
      <c r="C471" s="219">
        <f>6000-105*12</f>
        <v>4740</v>
      </c>
      <c r="D471" s="211">
        <v>10506</v>
      </c>
      <c r="E471" s="211">
        <v>3661.76</v>
      </c>
      <c r="F471" s="211">
        <v>12336.93</v>
      </c>
      <c r="G471" s="211">
        <v>11777.86</v>
      </c>
      <c r="H471" s="211">
        <v>17089.87</v>
      </c>
    </row>
    <row r="472" spans="1:8" x14ac:dyDescent="0.2">
      <c r="A472" s="210">
        <v>1613000570</v>
      </c>
      <c r="B472" s="210" t="s">
        <v>20</v>
      </c>
      <c r="C472" s="219"/>
    </row>
    <row r="473" spans="1:8" x14ac:dyDescent="0.2">
      <c r="A473" s="210">
        <v>1613000580</v>
      </c>
      <c r="B473" s="210" t="s">
        <v>577</v>
      </c>
      <c r="C473" s="219">
        <f>1000*12+2000-1000*12</f>
        <v>2000</v>
      </c>
      <c r="D473" s="211">
        <v>12000</v>
      </c>
      <c r="E473" s="211">
        <v>12414.57</v>
      </c>
      <c r="F473" s="211">
        <v>10886.46</v>
      </c>
      <c r="G473" s="211">
        <v>11927.44</v>
      </c>
      <c r="H473" s="211">
        <v>15848.99</v>
      </c>
    </row>
    <row r="474" spans="1:8" x14ac:dyDescent="0.2">
      <c r="A474" s="210">
        <v>1613000581</v>
      </c>
      <c r="B474" s="276" t="s">
        <v>1671</v>
      </c>
      <c r="C474" s="219">
        <f>105*12+1000*12</f>
        <v>13260</v>
      </c>
    </row>
    <row r="475" spans="1:8" x14ac:dyDescent="0.2">
      <c r="A475" s="210">
        <v>1613000810</v>
      </c>
      <c r="B475" s="210" t="s">
        <v>578</v>
      </c>
      <c r="C475" s="219">
        <f>196000-46000+158000</f>
        <v>308000</v>
      </c>
      <c r="D475" s="211">
        <v>196000</v>
      </c>
      <c r="E475" s="211">
        <v>147000</v>
      </c>
      <c r="F475" s="211">
        <v>150000</v>
      </c>
      <c r="G475" s="211">
        <v>140000</v>
      </c>
      <c r="H475" s="211">
        <v>140000</v>
      </c>
    </row>
    <row r="476" spans="1:8" x14ac:dyDescent="0.2">
      <c r="A476" s="210">
        <v>1613000910</v>
      </c>
      <c r="B476" s="210" t="s">
        <v>741</v>
      </c>
      <c r="C476" s="219">
        <v>417000</v>
      </c>
      <c r="F476" s="211">
        <v>30000</v>
      </c>
    </row>
    <row r="477" spans="1:8" x14ac:dyDescent="0.2">
      <c r="A477" s="210">
        <v>1613000930</v>
      </c>
      <c r="B477" s="210" t="s">
        <v>579</v>
      </c>
      <c r="C477" s="219">
        <v>9000</v>
      </c>
      <c r="D477" s="211">
        <v>16000</v>
      </c>
      <c r="E477" s="211">
        <v>2179</v>
      </c>
      <c r="F477" s="211">
        <v>7806.61</v>
      </c>
      <c r="G477" s="211">
        <v>18959.400000000001</v>
      </c>
      <c r="H477" s="211">
        <v>14882.91</v>
      </c>
    </row>
    <row r="478" spans="1:8" x14ac:dyDescent="0.2">
      <c r="A478" s="210">
        <v>1613000980</v>
      </c>
      <c r="B478" s="210" t="s">
        <v>580</v>
      </c>
      <c r="C478" s="219">
        <v>20000</v>
      </c>
      <c r="D478" s="211">
        <v>34021</v>
      </c>
      <c r="E478" s="211">
        <v>9930.2999999999993</v>
      </c>
      <c r="F478" s="211">
        <v>33298.480000000003</v>
      </c>
      <c r="G478" s="211">
        <v>38000.199999999997</v>
      </c>
      <c r="H478" s="211">
        <v>35172.699999999997</v>
      </c>
    </row>
    <row r="479" spans="1:8" x14ac:dyDescent="0.2">
      <c r="A479" s="210">
        <v>1613000981</v>
      </c>
      <c r="B479" s="210" t="s">
        <v>1553</v>
      </c>
      <c r="C479" s="219">
        <f>5600+3622+1000+855+5000+2000-77</f>
        <v>18000</v>
      </c>
      <c r="D479" s="211">
        <v>6000</v>
      </c>
      <c r="E479" s="211">
        <v>5244.54</v>
      </c>
    </row>
    <row r="480" spans="1:8" x14ac:dyDescent="0.2">
      <c r="A480" s="210">
        <v>1614000110</v>
      </c>
      <c r="B480" s="210" t="s">
        <v>515</v>
      </c>
      <c r="C480" s="219">
        <v>703084</v>
      </c>
      <c r="D480" s="211">
        <v>652438</v>
      </c>
      <c r="E480" s="211">
        <v>523472.88</v>
      </c>
      <c r="F480" s="211">
        <v>657665.74</v>
      </c>
      <c r="G480" s="211">
        <v>625139.03</v>
      </c>
      <c r="H480" s="211">
        <v>489997.43</v>
      </c>
    </row>
    <row r="481" spans="1:8" x14ac:dyDescent="0.2">
      <c r="A481" s="210">
        <v>1614000470</v>
      </c>
      <c r="B481" s="210" t="s">
        <v>581</v>
      </c>
      <c r="C481" s="219">
        <f>1000+35*12-420</f>
        <v>1000</v>
      </c>
      <c r="D481" s="211">
        <v>1000</v>
      </c>
      <c r="E481" s="211">
        <v>200</v>
      </c>
      <c r="F481" s="211">
        <v>742.2</v>
      </c>
      <c r="G481" s="211">
        <v>134.19999999999999</v>
      </c>
      <c r="H481" s="211">
        <v>926.36</v>
      </c>
    </row>
    <row r="482" spans="1:8" x14ac:dyDescent="0.2">
      <c r="A482" s="210">
        <v>1614000521</v>
      </c>
      <c r="B482" s="210" t="s">
        <v>582</v>
      </c>
      <c r="C482" s="219">
        <v>6000</v>
      </c>
      <c r="D482" s="211">
        <v>4000</v>
      </c>
      <c r="E482" s="211">
        <v>2950</v>
      </c>
      <c r="F482" s="211">
        <v>2950</v>
      </c>
      <c r="G482" s="211">
        <v>5653.05</v>
      </c>
      <c r="H482" s="211">
        <v>5647</v>
      </c>
    </row>
    <row r="483" spans="1:8" x14ac:dyDescent="0.2">
      <c r="A483" s="210">
        <v>1614000522</v>
      </c>
      <c r="B483" s="210" t="s">
        <v>583</v>
      </c>
      <c r="C483" s="219">
        <v>1000</v>
      </c>
      <c r="D483" s="211">
        <v>1000</v>
      </c>
      <c r="E483" s="211">
        <v>800</v>
      </c>
      <c r="F483" s="211">
        <v>892</v>
      </c>
      <c r="G483" s="211">
        <v>800</v>
      </c>
      <c r="H483" s="211">
        <v>800</v>
      </c>
    </row>
    <row r="484" spans="1:8" x14ac:dyDescent="0.2">
      <c r="A484" s="210">
        <v>1614000550</v>
      </c>
      <c r="B484" s="210" t="s">
        <v>584</v>
      </c>
      <c r="C484" s="220">
        <f>180000-30*12</f>
        <v>179640</v>
      </c>
      <c r="D484" s="211">
        <v>180500</v>
      </c>
      <c r="E484" s="211">
        <v>147657.91</v>
      </c>
      <c r="F484" s="211">
        <v>187765.22</v>
      </c>
      <c r="G484" s="211">
        <v>195870.12</v>
      </c>
      <c r="H484" s="211">
        <v>200372.61</v>
      </c>
    </row>
    <row r="485" spans="1:8" x14ac:dyDescent="0.2">
      <c r="A485" s="210">
        <v>1614000570</v>
      </c>
      <c r="B485" s="210" t="s">
        <v>243</v>
      </c>
      <c r="C485" s="219">
        <f>804*12</f>
        <v>9648</v>
      </c>
      <c r="D485" s="211">
        <v>9360</v>
      </c>
      <c r="E485" s="211">
        <v>3887.73</v>
      </c>
      <c r="F485" s="211">
        <v>9204.02</v>
      </c>
      <c r="G485" s="211">
        <v>10088.99</v>
      </c>
      <c r="H485" s="211">
        <v>5392.83</v>
      </c>
    </row>
    <row r="486" spans="1:8" x14ac:dyDescent="0.2">
      <c r="A486" s="210">
        <v>1614000581</v>
      </c>
      <c r="B486" s="276" t="s">
        <v>1672</v>
      </c>
      <c r="C486" s="219">
        <f>30*12</f>
        <v>360</v>
      </c>
    </row>
    <row r="487" spans="1:8" x14ac:dyDescent="0.2">
      <c r="A487" s="210">
        <v>1614000930</v>
      </c>
      <c r="B487" s="210" t="s">
        <v>585</v>
      </c>
      <c r="C487" s="219">
        <v>2000</v>
      </c>
      <c r="D487" s="211">
        <v>7000</v>
      </c>
      <c r="E487" s="211">
        <v>1000</v>
      </c>
      <c r="F487" s="211">
        <v>551.4</v>
      </c>
      <c r="G487" s="211">
        <v>780</v>
      </c>
      <c r="H487" s="211">
        <v>527.82000000000005</v>
      </c>
    </row>
    <row r="488" spans="1:8" x14ac:dyDescent="0.2">
      <c r="A488" s="210">
        <v>1614000981</v>
      </c>
      <c r="B488" s="210" t="s">
        <v>74</v>
      </c>
      <c r="C488" s="219"/>
      <c r="G488" s="211">
        <v>245</v>
      </c>
    </row>
    <row r="489" spans="1:8" x14ac:dyDescent="0.2">
      <c r="A489" s="210">
        <v>1614001550</v>
      </c>
      <c r="B489" s="210" t="s">
        <v>21</v>
      </c>
      <c r="C489" s="219"/>
    </row>
    <row r="490" spans="1:8" x14ac:dyDescent="0.2">
      <c r="A490" s="210">
        <v>1614001551</v>
      </c>
      <c r="B490" s="210" t="s">
        <v>586</v>
      </c>
      <c r="C490" s="220">
        <v>50000</v>
      </c>
      <c r="D490" s="211">
        <v>50000</v>
      </c>
      <c r="E490" s="211">
        <v>8963.59</v>
      </c>
      <c r="F490" s="211">
        <v>55859.59</v>
      </c>
      <c r="G490" s="211">
        <v>53593</v>
      </c>
      <c r="H490" s="211">
        <v>30543</v>
      </c>
    </row>
    <row r="491" spans="1:8" x14ac:dyDescent="0.2">
      <c r="A491" s="210">
        <v>1615000110</v>
      </c>
      <c r="B491" s="210" t="s">
        <v>516</v>
      </c>
      <c r="C491" s="219">
        <f>923023+10374</f>
        <v>933397</v>
      </c>
      <c r="D491" s="211">
        <v>864667</v>
      </c>
      <c r="E491" s="211">
        <v>691900.95</v>
      </c>
      <c r="F491" s="211">
        <v>852231.74</v>
      </c>
      <c r="G491" s="211">
        <v>855770.57</v>
      </c>
      <c r="H491" s="211">
        <v>802057.51</v>
      </c>
    </row>
    <row r="492" spans="1:8" x14ac:dyDescent="0.2">
      <c r="A492" s="210">
        <v>1615000522</v>
      </c>
      <c r="B492" s="210" t="s">
        <v>587</v>
      </c>
      <c r="C492" s="219">
        <v>1000</v>
      </c>
      <c r="D492" s="211">
        <v>550</v>
      </c>
      <c r="E492" s="211">
        <v>550</v>
      </c>
      <c r="F492" s="211">
        <v>2038</v>
      </c>
      <c r="G492" s="211">
        <v>2048</v>
      </c>
      <c r="H492" s="211">
        <v>1694</v>
      </c>
    </row>
    <row r="493" spans="1:8" x14ac:dyDescent="0.2">
      <c r="A493" s="210">
        <v>1615000523</v>
      </c>
      <c r="B493" s="210" t="s">
        <v>588</v>
      </c>
      <c r="C493" s="219">
        <f>800*1.1</f>
        <v>880.00000000000011</v>
      </c>
      <c r="D493" s="211">
        <v>800</v>
      </c>
      <c r="E493" s="211">
        <v>800</v>
      </c>
      <c r="G493" s="211">
        <v>1000</v>
      </c>
      <c r="H493" s="211">
        <v>405</v>
      </c>
    </row>
    <row r="494" spans="1:8" x14ac:dyDescent="0.2">
      <c r="A494" s="210">
        <v>1615000560</v>
      </c>
      <c r="B494" s="210" t="s">
        <v>589</v>
      </c>
      <c r="C494" s="219">
        <f>5000+60*12-720-95*12</f>
        <v>3860</v>
      </c>
      <c r="D494" s="211">
        <v>5000</v>
      </c>
      <c r="E494" s="211">
        <v>3316.97</v>
      </c>
      <c r="F494" s="211">
        <v>6269.05</v>
      </c>
      <c r="G494" s="211">
        <v>8219.5499999999993</v>
      </c>
      <c r="H494" s="211">
        <v>6132.57</v>
      </c>
    </row>
    <row r="495" spans="1:8" x14ac:dyDescent="0.2">
      <c r="A495" s="210">
        <v>1615000571</v>
      </c>
      <c r="B495" s="210" t="s">
        <v>590</v>
      </c>
      <c r="C495" s="219">
        <f>1700*3*4</f>
        <v>20400</v>
      </c>
      <c r="D495" s="211">
        <v>12000</v>
      </c>
      <c r="E495" s="211">
        <v>2966</v>
      </c>
      <c r="F495" s="211">
        <v>11939</v>
      </c>
      <c r="G495" s="211">
        <v>10000</v>
      </c>
      <c r="H495" s="211">
        <v>10000</v>
      </c>
    </row>
    <row r="496" spans="1:8" x14ac:dyDescent="0.2">
      <c r="A496" s="210">
        <v>1615000581</v>
      </c>
      <c r="B496" s="276" t="s">
        <v>1673</v>
      </c>
      <c r="C496" s="219">
        <f>95*12+56*12</f>
        <v>1812</v>
      </c>
    </row>
    <row r="497" spans="1:8" x14ac:dyDescent="0.2">
      <c r="A497" s="210">
        <v>1615000760</v>
      </c>
      <c r="B497" s="210" t="s">
        <v>552</v>
      </c>
      <c r="C497" s="219"/>
      <c r="G497" s="211">
        <v>3143.38</v>
      </c>
    </row>
    <row r="498" spans="1:8" x14ac:dyDescent="0.2">
      <c r="A498" s="210">
        <v>1615000780</v>
      </c>
      <c r="B498" s="210" t="s">
        <v>591</v>
      </c>
      <c r="C498" s="219">
        <f>11700*12+4680*12+15000*1.17*12</f>
        <v>407160</v>
      </c>
      <c r="D498" s="211">
        <v>313030</v>
      </c>
      <c r="E498" s="211">
        <v>257309.3</v>
      </c>
      <c r="F498" s="211">
        <v>256169.27</v>
      </c>
      <c r="G498" s="211">
        <v>158640.4</v>
      </c>
      <c r="H498" s="211">
        <v>30718.19</v>
      </c>
    </row>
    <row r="499" spans="1:8" x14ac:dyDescent="0.2">
      <c r="A499" s="210">
        <v>1615000930</v>
      </c>
      <c r="B499" s="210" t="s">
        <v>592</v>
      </c>
      <c r="C499" s="219">
        <f>7500-56*12</f>
        <v>6828</v>
      </c>
      <c r="D499" s="211">
        <v>7500</v>
      </c>
      <c r="E499" s="211">
        <v>6848.66</v>
      </c>
      <c r="F499" s="211">
        <v>11769.56</v>
      </c>
      <c r="G499" s="211">
        <v>13162.68</v>
      </c>
      <c r="H499" s="211">
        <v>8791.83</v>
      </c>
    </row>
    <row r="500" spans="1:8" x14ac:dyDescent="0.2">
      <c r="A500" s="210">
        <v>1617000110</v>
      </c>
      <c r="B500" s="210" t="s">
        <v>517</v>
      </c>
      <c r="C500" s="219">
        <v>2181470</v>
      </c>
      <c r="D500" s="211">
        <v>1889135</v>
      </c>
      <c r="E500" s="211">
        <v>1421112.03</v>
      </c>
      <c r="F500" s="211">
        <v>1591664.38</v>
      </c>
      <c r="G500" s="211">
        <v>1747833.76</v>
      </c>
      <c r="H500" s="211">
        <v>1533119.81</v>
      </c>
    </row>
    <row r="501" spans="1:8" x14ac:dyDescent="0.2">
      <c r="A501" s="210">
        <v>1617000210</v>
      </c>
      <c r="B501" s="210" t="s">
        <v>247</v>
      </c>
      <c r="C501" s="219"/>
      <c r="F501" s="211">
        <v>167.15</v>
      </c>
      <c r="H501" s="211">
        <v>13171.66</v>
      </c>
    </row>
    <row r="502" spans="1:8" x14ac:dyDescent="0.2">
      <c r="A502" s="210">
        <v>1617000440</v>
      </c>
      <c r="B502" s="210" t="s">
        <v>593</v>
      </c>
      <c r="C502" s="219">
        <v>74110</v>
      </c>
      <c r="D502" s="211">
        <v>74110</v>
      </c>
      <c r="E502" s="211">
        <v>60302.2</v>
      </c>
      <c r="F502" s="211">
        <v>67466.8</v>
      </c>
      <c r="G502" s="211">
        <v>37643</v>
      </c>
      <c r="H502" s="211">
        <v>29070</v>
      </c>
    </row>
    <row r="503" spans="1:8" x14ac:dyDescent="0.2">
      <c r="A503" s="210">
        <v>1617000441</v>
      </c>
      <c r="B503" s="210" t="s">
        <v>594</v>
      </c>
      <c r="C503" s="219">
        <v>775000</v>
      </c>
      <c r="D503" s="211">
        <v>570000</v>
      </c>
      <c r="E503" s="211">
        <v>2198807.58</v>
      </c>
      <c r="F503" s="211">
        <v>629402.5</v>
      </c>
      <c r="G503" s="211">
        <v>2169594.7000000002</v>
      </c>
      <c r="H503" s="211">
        <v>956129.5</v>
      </c>
    </row>
    <row r="504" spans="1:8" x14ac:dyDescent="0.2">
      <c r="A504" s="210">
        <v>1617000442</v>
      </c>
      <c r="B504" s="210" t="s">
        <v>595</v>
      </c>
      <c r="C504" s="219">
        <v>400000</v>
      </c>
      <c r="D504" s="211">
        <v>400000</v>
      </c>
      <c r="E504" s="211">
        <v>318187.49</v>
      </c>
      <c r="F504" s="211">
        <v>275785.5</v>
      </c>
      <c r="G504" s="211">
        <v>109246</v>
      </c>
      <c r="H504" s="211">
        <v>172769.5</v>
      </c>
    </row>
    <row r="505" spans="1:8" x14ac:dyDescent="0.2">
      <c r="A505" s="210">
        <v>1617000500</v>
      </c>
      <c r="B505" s="210" t="s">
        <v>596</v>
      </c>
      <c r="C505" s="219">
        <v>50000</v>
      </c>
      <c r="D505" s="211">
        <v>28000</v>
      </c>
      <c r="E505" s="211">
        <v>11765.56</v>
      </c>
      <c r="F505" s="211">
        <v>52693.74</v>
      </c>
      <c r="G505" s="211">
        <v>10143</v>
      </c>
      <c r="H505" s="211">
        <v>128898.44</v>
      </c>
    </row>
    <row r="506" spans="1:8" x14ac:dyDescent="0.2">
      <c r="A506" s="210">
        <v>1617000511</v>
      </c>
      <c r="B506" s="210" t="s">
        <v>597</v>
      </c>
      <c r="C506" s="219">
        <v>3600</v>
      </c>
      <c r="D506" s="211">
        <v>2500</v>
      </c>
      <c r="E506" s="211">
        <v>2791.98</v>
      </c>
      <c r="F506" s="211">
        <v>3055.68</v>
      </c>
      <c r="G506" s="211">
        <v>2500</v>
      </c>
      <c r="H506" s="211">
        <v>2127</v>
      </c>
    </row>
    <row r="507" spans="1:8" x14ac:dyDescent="0.2">
      <c r="A507" s="210">
        <v>1617000512</v>
      </c>
      <c r="B507" s="210" t="s">
        <v>598</v>
      </c>
      <c r="C507" s="219"/>
      <c r="F507" s="211">
        <v>1648.6</v>
      </c>
      <c r="G507" s="211">
        <v>1878.71</v>
      </c>
      <c r="H507" s="211">
        <v>2180.5</v>
      </c>
    </row>
    <row r="508" spans="1:8" x14ac:dyDescent="0.2">
      <c r="A508" s="210">
        <v>1617000521</v>
      </c>
      <c r="B508" s="210" t="s">
        <v>599</v>
      </c>
      <c r="C508" s="219">
        <v>25000</v>
      </c>
      <c r="D508" s="211">
        <v>13000</v>
      </c>
      <c r="E508" s="211">
        <v>12120</v>
      </c>
      <c r="F508" s="211">
        <v>24444.5</v>
      </c>
      <c r="G508" s="211">
        <v>30359.1</v>
      </c>
      <c r="H508" s="211">
        <v>13445</v>
      </c>
    </row>
    <row r="509" spans="1:8" x14ac:dyDescent="0.2">
      <c r="A509" s="210">
        <v>1617000522</v>
      </c>
      <c r="B509" s="210" t="s">
        <v>600</v>
      </c>
      <c r="C509" s="219">
        <v>16000</v>
      </c>
      <c r="D509" s="211">
        <v>6500</v>
      </c>
      <c r="E509" s="211">
        <v>5613.65</v>
      </c>
      <c r="F509" s="211">
        <v>7333.77</v>
      </c>
      <c r="G509" s="211">
        <v>4836.2</v>
      </c>
      <c r="H509" s="211">
        <v>10449</v>
      </c>
    </row>
    <row r="510" spans="1:8" x14ac:dyDescent="0.2">
      <c r="A510" s="210">
        <v>1617000523</v>
      </c>
      <c r="B510" s="210" t="s">
        <v>601</v>
      </c>
      <c r="C510" s="219">
        <v>7000</v>
      </c>
      <c r="D510" s="211">
        <v>4742</v>
      </c>
      <c r="E510" s="211">
        <v>3339</v>
      </c>
      <c r="F510" s="211">
        <v>6340</v>
      </c>
      <c r="G510" s="211">
        <v>6030</v>
      </c>
      <c r="H510" s="211">
        <v>5980</v>
      </c>
    </row>
    <row r="511" spans="1:8" x14ac:dyDescent="0.2">
      <c r="A511" s="210">
        <v>1617000530</v>
      </c>
      <c r="B511" s="210" t="s">
        <v>22</v>
      </c>
      <c r="C511" s="219">
        <v>81384</v>
      </c>
      <c r="D511" s="211">
        <v>75000</v>
      </c>
      <c r="E511" s="211">
        <v>56123.43</v>
      </c>
      <c r="F511" s="211">
        <v>74642.320000000007</v>
      </c>
      <c r="G511" s="211">
        <v>81277.490000000005</v>
      </c>
      <c r="H511" s="211">
        <v>87394.91</v>
      </c>
    </row>
    <row r="512" spans="1:8" x14ac:dyDescent="0.2">
      <c r="A512" s="210">
        <v>1617000540</v>
      </c>
      <c r="B512" s="210" t="s">
        <v>603</v>
      </c>
      <c r="C512" s="219"/>
      <c r="H512" s="211">
        <v>474.1</v>
      </c>
    </row>
    <row r="513" spans="1:8" x14ac:dyDescent="0.2">
      <c r="A513" s="210">
        <v>1617000560</v>
      </c>
      <c r="B513" s="210" t="s">
        <v>604</v>
      </c>
      <c r="C513" s="219">
        <f>8000-166*12</f>
        <v>6008</v>
      </c>
      <c r="D513" s="211">
        <v>16000</v>
      </c>
      <c r="E513" s="211">
        <v>13443.27</v>
      </c>
      <c r="F513" s="211">
        <v>7139.75</v>
      </c>
      <c r="G513" s="211">
        <v>12058.23</v>
      </c>
      <c r="H513" s="211">
        <v>8600.69</v>
      </c>
    </row>
    <row r="514" spans="1:8" x14ac:dyDescent="0.2">
      <c r="A514" s="210">
        <v>1617000561</v>
      </c>
      <c r="B514" s="276" t="s">
        <v>1674</v>
      </c>
      <c r="C514" s="219">
        <f>166*12</f>
        <v>1992</v>
      </c>
    </row>
    <row r="515" spans="1:8" x14ac:dyDescent="0.2">
      <c r="A515" s="210">
        <v>1617000570</v>
      </c>
      <c r="B515" s="210" t="s">
        <v>605</v>
      </c>
      <c r="C515" s="219">
        <f>9500+3000</f>
        <v>12500</v>
      </c>
      <c r="D515" s="211">
        <v>21000</v>
      </c>
      <c r="E515" s="211">
        <v>11826.22</v>
      </c>
      <c r="F515" s="211">
        <v>9691</v>
      </c>
      <c r="G515" s="211">
        <v>9493</v>
      </c>
      <c r="H515" s="211">
        <v>11774</v>
      </c>
    </row>
    <row r="516" spans="1:8" x14ac:dyDescent="0.2">
      <c r="A516" s="210">
        <v>1617000580</v>
      </c>
      <c r="B516" s="210" t="s">
        <v>1218</v>
      </c>
      <c r="C516" s="219"/>
      <c r="F516" s="211">
        <v>570.9</v>
      </c>
      <c r="G516" s="211">
        <v>2322.69</v>
      </c>
      <c r="H516" s="211">
        <v>95.2</v>
      </c>
    </row>
    <row r="517" spans="1:8" x14ac:dyDescent="0.2">
      <c r="A517" s="210">
        <v>1617000581</v>
      </c>
      <c r="B517" s="210" t="s">
        <v>606</v>
      </c>
      <c r="C517" s="219">
        <v>65000</v>
      </c>
      <c r="D517" s="211">
        <v>104000</v>
      </c>
      <c r="E517" s="211">
        <v>51858</v>
      </c>
      <c r="F517" s="211">
        <v>106738</v>
      </c>
      <c r="G517" s="211">
        <v>64384.32</v>
      </c>
      <c r="H517" s="211">
        <v>149557.18</v>
      </c>
    </row>
    <row r="518" spans="1:8" x14ac:dyDescent="0.2">
      <c r="A518" s="210">
        <v>1617000750</v>
      </c>
      <c r="B518" s="210" t="s">
        <v>607</v>
      </c>
      <c r="C518" s="219">
        <v>550000</v>
      </c>
      <c r="D518" s="211">
        <v>497500</v>
      </c>
      <c r="E518" s="211">
        <v>276306</v>
      </c>
      <c r="F518" s="211">
        <v>219479.9</v>
      </c>
      <c r="G518" s="211">
        <v>208428.55</v>
      </c>
      <c r="H518" s="211">
        <v>375134.53</v>
      </c>
    </row>
    <row r="519" spans="1:8" x14ac:dyDescent="0.2">
      <c r="A519" s="210">
        <v>1617000751</v>
      </c>
      <c r="B519" s="210" t="s">
        <v>253</v>
      </c>
      <c r="C519" s="219"/>
    </row>
    <row r="520" spans="1:8" x14ac:dyDescent="0.2">
      <c r="A520" s="210">
        <v>1617000752</v>
      </c>
      <c r="B520" s="210" t="s">
        <v>254</v>
      </c>
      <c r="C520" s="219"/>
    </row>
    <row r="521" spans="1:8" x14ac:dyDescent="0.2">
      <c r="A521" s="210">
        <v>1617000753</v>
      </c>
      <c r="B521" s="210" t="s">
        <v>255</v>
      </c>
      <c r="C521" s="219"/>
    </row>
    <row r="522" spans="1:8" x14ac:dyDescent="0.2">
      <c r="A522" s="210">
        <v>1617000760</v>
      </c>
      <c r="B522" s="210" t="s">
        <v>552</v>
      </c>
      <c r="C522" s="219">
        <v>27000</v>
      </c>
      <c r="D522" s="211">
        <v>17000</v>
      </c>
      <c r="E522" s="211">
        <v>13696</v>
      </c>
      <c r="F522" s="211">
        <v>10539.05</v>
      </c>
      <c r="G522" s="211">
        <v>19930.400000000001</v>
      </c>
      <c r="H522" s="211">
        <v>2239.36</v>
      </c>
    </row>
    <row r="523" spans="1:8" x14ac:dyDescent="0.2">
      <c r="A523" s="210">
        <v>1617000930</v>
      </c>
      <c r="B523" s="210" t="s">
        <v>608</v>
      </c>
      <c r="C523" s="219">
        <v>13000</v>
      </c>
      <c r="D523" s="211">
        <v>14364</v>
      </c>
      <c r="E523" s="211">
        <v>6693.1</v>
      </c>
      <c r="F523" s="211">
        <v>11132.07</v>
      </c>
      <c r="G523" s="211">
        <v>15658</v>
      </c>
      <c r="H523" s="211">
        <v>10538.97</v>
      </c>
    </row>
    <row r="524" spans="1:8" x14ac:dyDescent="0.2">
      <c r="A524" s="210">
        <v>1617000980</v>
      </c>
      <c r="B524" s="210" t="s">
        <v>609</v>
      </c>
      <c r="C524" s="219">
        <v>6000</v>
      </c>
      <c r="D524" s="211">
        <v>12394</v>
      </c>
      <c r="E524" s="211">
        <v>2913.51</v>
      </c>
      <c r="F524" s="211">
        <v>2213.9699999999998</v>
      </c>
      <c r="G524" s="211">
        <v>2121.2199999999998</v>
      </c>
      <c r="H524" s="211">
        <v>13251.46</v>
      </c>
    </row>
    <row r="525" spans="1:8" x14ac:dyDescent="0.2">
      <c r="A525" s="210">
        <v>1617000981</v>
      </c>
      <c r="B525" s="210" t="s">
        <v>74</v>
      </c>
      <c r="C525" s="219"/>
      <c r="G525" s="211">
        <v>771</v>
      </c>
    </row>
    <row r="526" spans="1:8" x14ac:dyDescent="0.2">
      <c r="A526" s="210">
        <v>1619000110</v>
      </c>
      <c r="B526" s="210" t="s">
        <v>23</v>
      </c>
      <c r="C526" s="219"/>
      <c r="F526" s="211">
        <v>71.25</v>
      </c>
      <c r="G526" s="211">
        <v>29.57</v>
      </c>
      <c r="H526" s="211">
        <v>49808.24</v>
      </c>
    </row>
    <row r="527" spans="1:8" x14ac:dyDescent="0.2">
      <c r="A527" s="210">
        <v>1619000780</v>
      </c>
      <c r="B527" s="210" t="s">
        <v>1153</v>
      </c>
      <c r="C527" s="219"/>
      <c r="H527" s="211">
        <v>382647.88</v>
      </c>
    </row>
    <row r="528" spans="1:8" x14ac:dyDescent="0.2">
      <c r="A528" s="210">
        <v>1620000399</v>
      </c>
      <c r="B528" s="210" t="s">
        <v>24</v>
      </c>
      <c r="C528" s="219"/>
    </row>
    <row r="529" spans="1:8" x14ac:dyDescent="0.2">
      <c r="A529" s="210">
        <v>1620000981</v>
      </c>
      <c r="B529" s="210" t="s">
        <v>73</v>
      </c>
      <c r="C529" s="219"/>
      <c r="G529" s="211">
        <v>281.75</v>
      </c>
    </row>
    <row r="530" spans="1:8" x14ac:dyDescent="0.2">
      <c r="A530" s="210">
        <v>1621000731</v>
      </c>
      <c r="B530" s="210" t="s">
        <v>1530</v>
      </c>
      <c r="C530" s="219"/>
      <c r="F530" s="211">
        <v>667.26</v>
      </c>
      <c r="G530" s="211">
        <v>8777.81</v>
      </c>
    </row>
    <row r="531" spans="1:8" x14ac:dyDescent="0.2">
      <c r="A531" s="210">
        <v>1621100110</v>
      </c>
      <c r="B531" s="210" t="s">
        <v>518</v>
      </c>
      <c r="C531" s="219">
        <v>953046</v>
      </c>
      <c r="D531" s="211">
        <v>906374</v>
      </c>
      <c r="E531" s="211">
        <v>693601.21</v>
      </c>
      <c r="F531" s="211">
        <v>871722.9</v>
      </c>
      <c r="G531" s="211">
        <v>847447.38</v>
      </c>
      <c r="H531" s="211">
        <v>790103.34</v>
      </c>
    </row>
    <row r="532" spans="1:8" x14ac:dyDescent="0.2">
      <c r="A532" s="210">
        <v>1621100422</v>
      </c>
      <c r="B532" s="210" t="s">
        <v>25</v>
      </c>
      <c r="C532" s="219"/>
    </row>
    <row r="533" spans="1:8" x14ac:dyDescent="0.2">
      <c r="A533" s="210">
        <v>1621100440</v>
      </c>
      <c r="B533" s="210" t="s">
        <v>610</v>
      </c>
      <c r="C533" s="219">
        <v>17950</v>
      </c>
      <c r="D533" s="211">
        <v>17950</v>
      </c>
      <c r="E533" s="211">
        <v>14262.2</v>
      </c>
      <c r="F533" s="211">
        <v>21211.8</v>
      </c>
      <c r="G533" s="211">
        <v>17445.93</v>
      </c>
      <c r="H533" s="211">
        <v>12750</v>
      </c>
    </row>
    <row r="534" spans="1:8" x14ac:dyDescent="0.2">
      <c r="A534" s="210">
        <v>1621100470</v>
      </c>
      <c r="B534" s="210" t="s">
        <v>611</v>
      </c>
      <c r="C534" s="219">
        <v>1300</v>
      </c>
      <c r="D534" s="211">
        <v>1300</v>
      </c>
      <c r="E534" s="211">
        <v>595.89</v>
      </c>
      <c r="F534" s="211">
        <v>818.81</v>
      </c>
      <c r="G534" s="211">
        <v>717.05</v>
      </c>
      <c r="H534" s="211">
        <v>429.47</v>
      </c>
    </row>
    <row r="535" spans="1:8" x14ac:dyDescent="0.2">
      <c r="A535" s="210">
        <v>1621100511</v>
      </c>
      <c r="B535" s="210" t="s">
        <v>612</v>
      </c>
      <c r="C535" s="219">
        <v>1500</v>
      </c>
      <c r="D535" s="211">
        <v>1500</v>
      </c>
      <c r="E535" s="211">
        <v>1686.6</v>
      </c>
      <c r="F535" s="211">
        <v>1493.64</v>
      </c>
      <c r="G535" s="211">
        <v>1500</v>
      </c>
      <c r="H535" s="211">
        <v>2089</v>
      </c>
    </row>
    <row r="536" spans="1:8" x14ac:dyDescent="0.2">
      <c r="A536" s="210">
        <v>1621100512</v>
      </c>
      <c r="B536" s="210" t="s">
        <v>613</v>
      </c>
      <c r="C536" s="219">
        <v>0</v>
      </c>
      <c r="F536" s="211">
        <v>497.5</v>
      </c>
      <c r="H536" s="211">
        <v>159</v>
      </c>
    </row>
    <row r="537" spans="1:8" x14ac:dyDescent="0.2">
      <c r="A537" s="210">
        <v>1621100521</v>
      </c>
      <c r="B537" s="210" t="s">
        <v>614</v>
      </c>
      <c r="C537" s="219">
        <v>8000</v>
      </c>
      <c r="D537" s="211">
        <v>8000</v>
      </c>
      <c r="E537" s="211">
        <v>4730</v>
      </c>
      <c r="F537" s="211">
        <v>7767.06</v>
      </c>
      <c r="G537" s="211">
        <v>5278</v>
      </c>
      <c r="H537" s="211">
        <v>7952</v>
      </c>
    </row>
    <row r="538" spans="1:8" x14ac:dyDescent="0.2">
      <c r="A538" s="210">
        <v>1621100522</v>
      </c>
      <c r="B538" s="210" t="s">
        <v>615</v>
      </c>
      <c r="C538" s="219">
        <v>3500</v>
      </c>
      <c r="D538" s="211">
        <v>3500</v>
      </c>
      <c r="E538" s="211">
        <v>3451.28</v>
      </c>
      <c r="F538" s="211">
        <v>3654.46</v>
      </c>
      <c r="G538" s="211">
        <v>3688.99</v>
      </c>
      <c r="H538" s="211">
        <v>3640.01</v>
      </c>
    </row>
    <row r="539" spans="1:8" x14ac:dyDescent="0.2">
      <c r="A539" s="210">
        <v>1621100523</v>
      </c>
      <c r="B539" s="210" t="s">
        <v>616</v>
      </c>
      <c r="C539" s="219">
        <v>1500</v>
      </c>
      <c r="D539" s="211">
        <v>1500</v>
      </c>
      <c r="E539" s="211">
        <v>1500</v>
      </c>
      <c r="F539" s="211">
        <v>2338</v>
      </c>
      <c r="G539" s="211">
        <v>2264</v>
      </c>
      <c r="H539" s="211">
        <v>3200</v>
      </c>
    </row>
    <row r="540" spans="1:8" x14ac:dyDescent="0.2">
      <c r="A540" s="210">
        <v>1621100530</v>
      </c>
      <c r="B540" s="210" t="s">
        <v>102</v>
      </c>
      <c r="C540" s="219">
        <v>81945</v>
      </c>
      <c r="D540" s="211">
        <v>75000</v>
      </c>
      <c r="E540" s="211">
        <v>55571.88</v>
      </c>
      <c r="F540" s="211">
        <v>77070.12</v>
      </c>
      <c r="G540" s="211">
        <v>107888.2</v>
      </c>
      <c r="H540" s="211">
        <v>104046.34</v>
      </c>
    </row>
    <row r="541" spans="1:8" x14ac:dyDescent="0.2">
      <c r="A541" s="210">
        <v>1621100540</v>
      </c>
      <c r="B541" s="210" t="s">
        <v>26</v>
      </c>
      <c r="C541" s="219"/>
    </row>
    <row r="542" spans="1:8" x14ac:dyDescent="0.2">
      <c r="A542" s="210">
        <v>1621100560</v>
      </c>
      <c r="B542" s="210" t="s">
        <v>618</v>
      </c>
      <c r="C542" s="219">
        <f>8000+1000-183*12</f>
        <v>6804</v>
      </c>
      <c r="D542" s="211">
        <v>11000</v>
      </c>
      <c r="E542" s="211">
        <v>5062.34</v>
      </c>
      <c r="F542" s="211">
        <v>10045.14</v>
      </c>
      <c r="G542" s="211">
        <v>13166.07</v>
      </c>
      <c r="H542" s="211">
        <v>9394.31</v>
      </c>
    </row>
    <row r="543" spans="1:8" x14ac:dyDescent="0.2">
      <c r="A543" s="210">
        <v>1621100580</v>
      </c>
      <c r="B543" s="210" t="s">
        <v>1220</v>
      </c>
      <c r="C543" s="219"/>
      <c r="F543" s="211">
        <v>1233</v>
      </c>
      <c r="G543" s="211">
        <v>5635.6</v>
      </c>
      <c r="H543" s="211">
        <v>4723.25</v>
      </c>
    </row>
    <row r="544" spans="1:8" x14ac:dyDescent="0.2">
      <c r="A544" s="210">
        <v>1621100581</v>
      </c>
      <c r="B544" s="276" t="s">
        <v>1675</v>
      </c>
      <c r="C544" s="219">
        <f>183*12</f>
        <v>2196</v>
      </c>
    </row>
    <row r="545" spans="1:8" x14ac:dyDescent="0.2">
      <c r="A545" s="210">
        <v>1621100742</v>
      </c>
      <c r="B545" s="210" t="s">
        <v>619</v>
      </c>
      <c r="C545" s="219"/>
    </row>
    <row r="546" spans="1:8" x14ac:dyDescent="0.2">
      <c r="A546" s="210">
        <v>1621100760</v>
      </c>
      <c r="B546" s="210" t="s">
        <v>552</v>
      </c>
      <c r="C546" s="219">
        <f>1574*12+12</f>
        <v>18900</v>
      </c>
      <c r="D546" s="211">
        <v>18900</v>
      </c>
      <c r="E546" s="211">
        <v>12599.92</v>
      </c>
      <c r="F546" s="211">
        <v>21492.36</v>
      </c>
      <c r="G546" s="211">
        <v>17878.599999999999</v>
      </c>
      <c r="H546" s="211">
        <v>14028.39</v>
      </c>
    </row>
    <row r="547" spans="1:8" x14ac:dyDescent="0.2">
      <c r="A547" s="210">
        <v>1621100910</v>
      </c>
      <c r="B547" s="210" t="s">
        <v>1529</v>
      </c>
      <c r="C547" s="219"/>
      <c r="F547" s="211">
        <v>15568.21</v>
      </c>
    </row>
    <row r="548" spans="1:8" x14ac:dyDescent="0.2">
      <c r="A548" s="210">
        <v>1621100930</v>
      </c>
      <c r="B548" s="210" t="s">
        <v>620</v>
      </c>
      <c r="C548" s="219">
        <v>0</v>
      </c>
      <c r="D548" s="211">
        <v>1000</v>
      </c>
      <c r="E548" s="211">
        <v>406.65</v>
      </c>
      <c r="F548" s="211">
        <v>1517.1</v>
      </c>
      <c r="G548" s="211">
        <v>2806.36</v>
      </c>
      <c r="H548" s="211">
        <v>7924.4</v>
      </c>
    </row>
    <row r="549" spans="1:8" x14ac:dyDescent="0.2">
      <c r="A549" s="210">
        <v>1621100980</v>
      </c>
      <c r="B549" s="210" t="s">
        <v>621</v>
      </c>
      <c r="C549" s="219">
        <f>5850*12+30000+15000</f>
        <v>115200</v>
      </c>
      <c r="D549" s="211">
        <v>137640</v>
      </c>
      <c r="E549" s="211">
        <v>100209</v>
      </c>
      <c r="F549" s="211">
        <v>124878.5</v>
      </c>
      <c r="G549" s="211">
        <v>88669.78</v>
      </c>
      <c r="H549" s="211">
        <v>21586.35</v>
      </c>
    </row>
    <row r="550" spans="1:8" x14ac:dyDescent="0.2">
      <c r="A550" s="210">
        <v>1621200530</v>
      </c>
      <c r="B550" s="210" t="s">
        <v>1600</v>
      </c>
      <c r="C550" s="219"/>
    </row>
    <row r="551" spans="1:8" x14ac:dyDescent="0.2">
      <c r="A551" s="210">
        <v>1621300110</v>
      </c>
      <c r="B551" s="210" t="s">
        <v>27</v>
      </c>
      <c r="C551" s="219"/>
    </row>
    <row r="552" spans="1:8" x14ac:dyDescent="0.2">
      <c r="A552" s="210">
        <v>1621300470</v>
      </c>
      <c r="B552" s="210" t="s">
        <v>622</v>
      </c>
      <c r="C552" s="219"/>
    </row>
    <row r="553" spans="1:8" x14ac:dyDescent="0.2">
      <c r="A553" s="210">
        <v>1621300560</v>
      </c>
      <c r="B553" s="210" t="s">
        <v>623</v>
      </c>
      <c r="C553" s="219">
        <f>6195+625+270*4-270*12</f>
        <v>4660</v>
      </c>
      <c r="D553" s="211">
        <v>6300</v>
      </c>
      <c r="E553" s="211">
        <v>5517.69</v>
      </c>
      <c r="F553" s="211">
        <v>4936.37</v>
      </c>
      <c r="G553" s="211">
        <v>7770.16</v>
      </c>
      <c r="H553" s="211">
        <v>5823.14</v>
      </c>
    </row>
    <row r="554" spans="1:8" x14ac:dyDescent="0.2">
      <c r="A554" s="210">
        <v>1621300570</v>
      </c>
      <c r="B554" s="210" t="s">
        <v>624</v>
      </c>
      <c r="C554" s="219">
        <f>12871*12</f>
        <v>154452</v>
      </c>
      <c r="D554" s="211">
        <v>147000</v>
      </c>
      <c r="E554" s="211">
        <v>69217.2</v>
      </c>
      <c r="F554" s="211">
        <v>139275.74</v>
      </c>
      <c r="G554" s="211">
        <v>133689.37</v>
      </c>
      <c r="H554" s="211">
        <v>131172.60999999999</v>
      </c>
    </row>
    <row r="555" spans="1:8" x14ac:dyDescent="0.2">
      <c r="A555" s="210">
        <v>1621300580</v>
      </c>
      <c r="B555" s="210" t="s">
        <v>28</v>
      </c>
      <c r="C555" s="219"/>
    </row>
    <row r="556" spans="1:8" x14ac:dyDescent="0.2">
      <c r="A556" s="210">
        <v>1621300581</v>
      </c>
      <c r="B556" s="276" t="s">
        <v>1676</v>
      </c>
      <c r="C556" s="219">
        <f>270*12</f>
        <v>3240</v>
      </c>
    </row>
    <row r="557" spans="1:8" x14ac:dyDescent="0.2">
      <c r="A557" s="210">
        <v>1621300750</v>
      </c>
      <c r="B557" s="210" t="s">
        <v>625</v>
      </c>
      <c r="C557" s="219">
        <f>145000*12</f>
        <v>1740000</v>
      </c>
      <c r="D557" s="211">
        <v>1698277</v>
      </c>
      <c r="E557" s="211">
        <v>1316511</v>
      </c>
      <c r="F557" s="211">
        <v>1775324</v>
      </c>
      <c r="G557" s="211">
        <v>1832184</v>
      </c>
      <c r="H557" s="211">
        <v>1773284</v>
      </c>
    </row>
    <row r="558" spans="1:8" x14ac:dyDescent="0.2">
      <c r="A558" s="210">
        <v>1621300780</v>
      </c>
      <c r="B558" s="210" t="s">
        <v>626</v>
      </c>
      <c r="C558" s="219">
        <v>4000</v>
      </c>
      <c r="D558" s="211">
        <v>4500</v>
      </c>
      <c r="E558" s="211">
        <v>2637.6</v>
      </c>
      <c r="F558" s="211">
        <v>4747.6000000000004</v>
      </c>
      <c r="G558" s="211">
        <v>1801.73</v>
      </c>
      <c r="H558" s="211">
        <v>7477.72</v>
      </c>
    </row>
    <row r="559" spans="1:8" x14ac:dyDescent="0.2">
      <c r="A559" s="210">
        <v>1621300930</v>
      </c>
      <c r="B559" s="210" t="s">
        <v>627</v>
      </c>
      <c r="C559" s="219">
        <v>8000</v>
      </c>
      <c r="D559" s="211">
        <v>10000</v>
      </c>
      <c r="E559" s="211">
        <v>4571</v>
      </c>
      <c r="F559" s="211">
        <v>4513.79</v>
      </c>
      <c r="G559" s="211">
        <v>9298.6</v>
      </c>
      <c r="H559" s="211">
        <v>5331.8</v>
      </c>
    </row>
    <row r="560" spans="1:8" x14ac:dyDescent="0.2">
      <c r="A560" s="210">
        <v>1621500110</v>
      </c>
      <c r="B560" s="210" t="s">
        <v>519</v>
      </c>
      <c r="C560" s="219">
        <v>630905</v>
      </c>
      <c r="D560" s="211">
        <v>627887</v>
      </c>
      <c r="E560" s="211">
        <v>452940.53</v>
      </c>
      <c r="F560" s="211">
        <v>556807.31999999995</v>
      </c>
      <c r="G560" s="211">
        <v>491569.82</v>
      </c>
      <c r="H560" s="211">
        <v>457442.3</v>
      </c>
    </row>
    <row r="561" spans="1:8" x14ac:dyDescent="0.2">
      <c r="A561" s="210">
        <v>1621500511</v>
      </c>
      <c r="B561" s="226" t="s">
        <v>29</v>
      </c>
      <c r="C561" s="219">
        <v>1000</v>
      </c>
      <c r="D561" s="211">
        <v>1000</v>
      </c>
      <c r="E561" s="211">
        <v>643.78</v>
      </c>
      <c r="F561" s="211">
        <v>995.76</v>
      </c>
      <c r="G561" s="211">
        <v>1000</v>
      </c>
    </row>
    <row r="562" spans="1:8" x14ac:dyDescent="0.2">
      <c r="A562" s="210">
        <v>1621500521</v>
      </c>
      <c r="B562" s="210" t="s">
        <v>628</v>
      </c>
      <c r="C562" s="219">
        <v>6000</v>
      </c>
      <c r="D562" s="211">
        <v>12475</v>
      </c>
      <c r="E562" s="211">
        <v>11300</v>
      </c>
      <c r="F562" s="211">
        <v>4500</v>
      </c>
      <c r="G562" s="211">
        <v>3350</v>
      </c>
      <c r="H562" s="211">
        <v>4353</v>
      </c>
    </row>
    <row r="563" spans="1:8" x14ac:dyDescent="0.2">
      <c r="A563" s="210">
        <v>1621500540</v>
      </c>
      <c r="B563" s="210" t="s">
        <v>629</v>
      </c>
      <c r="C563" s="219"/>
    </row>
    <row r="564" spans="1:8" x14ac:dyDescent="0.2">
      <c r="A564" s="210">
        <v>1621500560</v>
      </c>
      <c r="B564" s="210" t="s">
        <v>630</v>
      </c>
      <c r="C564" s="219">
        <f>450*12+135*12-450*12</f>
        <v>1620</v>
      </c>
      <c r="D564" s="211">
        <v>5000</v>
      </c>
      <c r="E564" s="211">
        <v>3670.42</v>
      </c>
      <c r="F564" s="211">
        <v>4023.24</v>
      </c>
      <c r="G564" s="211">
        <v>3224.54</v>
      </c>
      <c r="H564" s="211">
        <v>3368.24</v>
      </c>
    </row>
    <row r="565" spans="1:8" x14ac:dyDescent="0.2">
      <c r="A565" s="210">
        <v>1621500570</v>
      </c>
      <c r="B565" s="210" t="s">
        <v>631</v>
      </c>
      <c r="C565" s="219">
        <f>28807*12</f>
        <v>345684</v>
      </c>
      <c r="D565" s="211">
        <v>325600</v>
      </c>
      <c r="E565" s="211">
        <v>168541.66</v>
      </c>
      <c r="F565" s="211">
        <v>221832.03</v>
      </c>
      <c r="G565" s="211">
        <v>200795.84</v>
      </c>
      <c r="H565" s="211">
        <v>198241.48</v>
      </c>
    </row>
    <row r="566" spans="1:8" x14ac:dyDescent="0.2">
      <c r="A566" s="210">
        <v>1621500581</v>
      </c>
      <c r="B566" s="276" t="s">
        <v>1677</v>
      </c>
      <c r="C566" s="219">
        <f>450*12</f>
        <v>5400</v>
      </c>
    </row>
    <row r="567" spans="1:8" x14ac:dyDescent="0.2">
      <c r="A567" s="210">
        <v>1621500750</v>
      </c>
      <c r="B567" s="210" t="s">
        <v>1221</v>
      </c>
      <c r="C567" s="219"/>
    </row>
    <row r="568" spans="1:8" x14ac:dyDescent="0.2">
      <c r="A568" s="210">
        <v>1621500780</v>
      </c>
      <c r="B568" s="210" t="s">
        <v>632</v>
      </c>
      <c r="C568" s="219">
        <v>0</v>
      </c>
      <c r="D568" s="211">
        <v>1824</v>
      </c>
      <c r="E568" s="211">
        <v>1824</v>
      </c>
      <c r="F568" s="211">
        <v>1290.96</v>
      </c>
      <c r="G568" s="211">
        <v>6416.15</v>
      </c>
      <c r="H568" s="211">
        <v>38816.269999999997</v>
      </c>
    </row>
    <row r="569" spans="1:8" x14ac:dyDescent="0.2">
      <c r="A569" s="210">
        <v>1621500930</v>
      </c>
      <c r="B569" s="210" t="s">
        <v>633</v>
      </c>
      <c r="C569" s="219">
        <v>5000</v>
      </c>
      <c r="D569" s="211">
        <v>3190</v>
      </c>
      <c r="E569" s="211">
        <v>3190</v>
      </c>
      <c r="F569" s="211">
        <v>2625.75</v>
      </c>
      <c r="G569" s="211">
        <v>7789.18</v>
      </c>
      <c r="H569" s="211">
        <v>3789.72</v>
      </c>
    </row>
    <row r="570" spans="1:8" x14ac:dyDescent="0.2">
      <c r="A570" s="210">
        <v>1621500981</v>
      </c>
      <c r="B570" s="210" t="s">
        <v>74</v>
      </c>
      <c r="C570" s="219"/>
      <c r="G570" s="211">
        <v>112</v>
      </c>
    </row>
    <row r="571" spans="1:8" x14ac:dyDescent="0.2">
      <c r="A571" s="210">
        <v>1623000110</v>
      </c>
      <c r="B571" s="210" t="s">
        <v>520</v>
      </c>
      <c r="C571" s="219">
        <f>1147633+10276</f>
        <v>1157909</v>
      </c>
      <c r="D571" s="211">
        <v>1278755</v>
      </c>
      <c r="E571" s="211">
        <v>936532.13</v>
      </c>
      <c r="F571" s="211">
        <v>1170198.18</v>
      </c>
      <c r="G571" s="211">
        <v>1204640.78</v>
      </c>
      <c r="H571" s="211">
        <v>1164995.77</v>
      </c>
    </row>
    <row r="572" spans="1:8" x14ac:dyDescent="0.2">
      <c r="A572" s="210">
        <v>1623000210</v>
      </c>
      <c r="B572" s="210" t="s">
        <v>1528</v>
      </c>
      <c r="C572" s="219"/>
      <c r="F572" s="211">
        <v>32748.17</v>
      </c>
      <c r="G572" s="211">
        <v>6419.03</v>
      </c>
    </row>
    <row r="573" spans="1:8" x14ac:dyDescent="0.2">
      <c r="A573" s="210">
        <v>1623000440</v>
      </c>
      <c r="B573" s="210" t="s">
        <v>634</v>
      </c>
      <c r="C573" s="219">
        <v>2727</v>
      </c>
      <c r="D573" s="211">
        <v>2727</v>
      </c>
      <c r="E573" s="211">
        <v>2045.25</v>
      </c>
      <c r="F573" s="211">
        <v>2542.25</v>
      </c>
      <c r="G573" s="211">
        <v>2531</v>
      </c>
      <c r="H573" s="211">
        <v>1890</v>
      </c>
    </row>
    <row r="574" spans="1:8" x14ac:dyDescent="0.2">
      <c r="A574" s="210">
        <v>1623000521</v>
      </c>
      <c r="B574" s="210" t="s">
        <v>635</v>
      </c>
      <c r="C574" s="219">
        <v>9100</v>
      </c>
      <c r="D574" s="211">
        <v>1385</v>
      </c>
      <c r="E574" s="211">
        <v>210</v>
      </c>
      <c r="F574" s="211">
        <v>1650</v>
      </c>
      <c r="G574" s="211">
        <v>2100</v>
      </c>
      <c r="H574" s="211">
        <v>1000</v>
      </c>
    </row>
    <row r="575" spans="1:8" x14ac:dyDescent="0.2">
      <c r="A575" s="210">
        <v>1623000530</v>
      </c>
      <c r="B575" s="210" t="s">
        <v>636</v>
      </c>
      <c r="C575" s="219">
        <v>0</v>
      </c>
      <c r="D575" s="211">
        <v>2955</v>
      </c>
      <c r="E575" s="211">
        <v>2954.87</v>
      </c>
      <c r="F575" s="211">
        <v>45000.23</v>
      </c>
      <c r="G575" s="211">
        <v>59684.47</v>
      </c>
      <c r="H575" s="211">
        <v>61468.68</v>
      </c>
    </row>
    <row r="576" spans="1:8" x14ac:dyDescent="0.2">
      <c r="A576" s="210">
        <v>1623000540</v>
      </c>
      <c r="B576" s="210" t="s">
        <v>30</v>
      </c>
      <c r="C576" s="219"/>
    </row>
    <row r="577" spans="1:8" x14ac:dyDescent="0.2">
      <c r="A577" s="210">
        <v>1623000560</v>
      </c>
      <c r="B577" s="210" t="s">
        <v>637</v>
      </c>
      <c r="C577" s="219">
        <f>7500+1000</f>
        <v>8500</v>
      </c>
      <c r="D577" s="211">
        <v>8000</v>
      </c>
      <c r="E577" s="211">
        <v>5389.64</v>
      </c>
      <c r="F577" s="211">
        <v>1814</v>
      </c>
      <c r="G577" s="211">
        <v>2545.5300000000002</v>
      </c>
      <c r="H577" s="211">
        <v>4603</v>
      </c>
    </row>
    <row r="578" spans="1:8" x14ac:dyDescent="0.2">
      <c r="A578" s="210">
        <v>1623000561</v>
      </c>
      <c r="B578" s="210" t="s">
        <v>31</v>
      </c>
      <c r="C578" s="219"/>
      <c r="H578" s="211">
        <v>2307.9299999999998</v>
      </c>
    </row>
    <row r="579" spans="1:8" x14ac:dyDescent="0.2">
      <c r="A579" s="210">
        <v>1623000570</v>
      </c>
      <c r="B579" s="210" t="s">
        <v>638</v>
      </c>
      <c r="C579" s="219">
        <f>37106*12</f>
        <v>445272</v>
      </c>
      <c r="D579" s="211">
        <v>330000</v>
      </c>
      <c r="E579" s="211">
        <v>250790.46</v>
      </c>
      <c r="F579" s="211">
        <v>336328.59</v>
      </c>
      <c r="G579" s="211">
        <v>292109.81</v>
      </c>
      <c r="H579" s="211">
        <v>205685.09</v>
      </c>
    </row>
    <row r="580" spans="1:8" x14ac:dyDescent="0.2">
      <c r="A580" s="210">
        <v>1623000580</v>
      </c>
      <c r="B580" s="210" t="s">
        <v>639</v>
      </c>
      <c r="C580" s="219">
        <f>11000*12</f>
        <v>132000</v>
      </c>
      <c r="D580" s="211">
        <v>106800</v>
      </c>
      <c r="E580" s="211">
        <v>57624.94</v>
      </c>
      <c r="F580" s="211">
        <v>4571</v>
      </c>
      <c r="G580" s="211">
        <v>8891.0300000000007</v>
      </c>
      <c r="H580" s="211">
        <v>5327.6</v>
      </c>
    </row>
    <row r="581" spans="1:8" x14ac:dyDescent="0.2">
      <c r="A581" s="210">
        <v>1623000731</v>
      </c>
      <c r="B581" s="210" t="s">
        <v>103</v>
      </c>
      <c r="C581" s="219"/>
      <c r="G581" s="211">
        <v>1116.8399999999999</v>
      </c>
      <c r="H581" s="211">
        <v>7716.11</v>
      </c>
    </row>
    <row r="582" spans="1:8" x14ac:dyDescent="0.2">
      <c r="A582" s="210">
        <v>1623000750</v>
      </c>
      <c r="B582" s="210" t="s">
        <v>640</v>
      </c>
      <c r="C582" s="219">
        <v>3450000</v>
      </c>
      <c r="D582" s="211">
        <v>2913444</v>
      </c>
      <c r="E582" s="211">
        <v>1301140.8500000001</v>
      </c>
      <c r="F582" s="211">
        <v>3295003.9</v>
      </c>
      <c r="G582" s="211">
        <v>4252062.17</v>
      </c>
      <c r="H582" s="211">
        <v>3486587.7</v>
      </c>
    </row>
    <row r="583" spans="1:8" x14ac:dyDescent="0.2">
      <c r="A583" s="210">
        <v>1623000751</v>
      </c>
      <c r="B583" s="210" t="s">
        <v>641</v>
      </c>
      <c r="C583" s="219">
        <v>55000</v>
      </c>
      <c r="D583" s="211">
        <v>76000</v>
      </c>
      <c r="E583" s="211">
        <v>19486.05</v>
      </c>
      <c r="F583" s="211">
        <v>80422.7</v>
      </c>
    </row>
    <row r="584" spans="1:8" x14ac:dyDescent="0.2">
      <c r="A584" s="210">
        <v>1623000752</v>
      </c>
      <c r="B584" s="210" t="s">
        <v>1223</v>
      </c>
      <c r="C584" s="219"/>
    </row>
    <row r="585" spans="1:8" x14ac:dyDescent="0.2">
      <c r="A585" s="210">
        <v>1623000753</v>
      </c>
      <c r="B585" s="210" t="s">
        <v>32</v>
      </c>
      <c r="C585" s="219">
        <v>1250000</v>
      </c>
      <c r="D585" s="211">
        <v>800000</v>
      </c>
      <c r="E585" s="211">
        <v>685802.23</v>
      </c>
      <c r="F585" s="211">
        <v>1072540.69</v>
      </c>
      <c r="G585" s="211">
        <v>1868273.72</v>
      </c>
      <c r="H585" s="211">
        <v>1005212.52</v>
      </c>
    </row>
    <row r="586" spans="1:8" x14ac:dyDescent="0.2">
      <c r="A586" s="210">
        <v>1623000780</v>
      </c>
      <c r="B586" s="210" t="s">
        <v>642</v>
      </c>
      <c r="C586" s="219">
        <v>165000</v>
      </c>
      <c r="D586" s="211">
        <v>155000</v>
      </c>
      <c r="E586" s="211">
        <v>94265.83</v>
      </c>
      <c r="F586" s="211">
        <v>141239.89000000001</v>
      </c>
      <c r="G586" s="211">
        <v>171053.78</v>
      </c>
      <c r="H586" s="211">
        <v>128192.6</v>
      </c>
    </row>
    <row r="587" spans="1:8" x14ac:dyDescent="0.2">
      <c r="A587" s="210">
        <v>1623000930</v>
      </c>
      <c r="B587" s="210" t="s">
        <v>643</v>
      </c>
      <c r="C587" s="219">
        <v>0</v>
      </c>
      <c r="D587" s="211">
        <v>1000</v>
      </c>
      <c r="G587" s="211">
        <v>1073.8</v>
      </c>
      <c r="H587" s="211">
        <v>1250</v>
      </c>
    </row>
    <row r="588" spans="1:8" x14ac:dyDescent="0.2">
      <c r="A588" s="210">
        <v>1623000981</v>
      </c>
      <c r="B588" s="210" t="s">
        <v>74</v>
      </c>
      <c r="C588" s="219"/>
      <c r="G588" s="211">
        <v>161</v>
      </c>
    </row>
    <row r="589" spans="1:8" x14ac:dyDescent="0.2">
      <c r="A589" s="210">
        <v>1623100530</v>
      </c>
      <c r="B589" s="210" t="s">
        <v>1601</v>
      </c>
      <c r="C589" s="219">
        <v>72421</v>
      </c>
      <c r="D589" s="211">
        <v>61698</v>
      </c>
      <c r="E589" s="211">
        <v>39033.360000000001</v>
      </c>
    </row>
    <row r="590" spans="1:8" x14ac:dyDescent="0.2">
      <c r="A590" s="210">
        <v>1623100731</v>
      </c>
      <c r="B590" s="210" t="s">
        <v>1602</v>
      </c>
      <c r="C590" s="219">
        <v>14142</v>
      </c>
      <c r="D590" s="211">
        <v>8000</v>
      </c>
      <c r="E590" s="211">
        <v>8590.4599999999991</v>
      </c>
    </row>
    <row r="591" spans="1:8" x14ac:dyDescent="0.2">
      <c r="A591" s="210">
        <v>1624000110</v>
      </c>
      <c r="B591" s="210" t="s">
        <v>1603</v>
      </c>
      <c r="C591" s="219">
        <v>186794</v>
      </c>
      <c r="D591" s="211">
        <v>56000</v>
      </c>
      <c r="E591" s="211">
        <v>13134.84</v>
      </c>
    </row>
    <row r="592" spans="1:8" x14ac:dyDescent="0.2">
      <c r="A592" s="210">
        <v>1624000930</v>
      </c>
      <c r="B592" s="210" t="s">
        <v>1604</v>
      </c>
      <c r="C592" s="219">
        <v>1000</v>
      </c>
      <c r="D592" s="211">
        <v>7000</v>
      </c>
      <c r="E592" s="211">
        <v>1577.16</v>
      </c>
    </row>
    <row r="593" spans="1:8" x14ac:dyDescent="0.2">
      <c r="A593" s="210">
        <v>1631000610</v>
      </c>
      <c r="B593" s="210" t="s">
        <v>1069</v>
      </c>
      <c r="C593" s="219">
        <v>600000</v>
      </c>
      <c r="D593" s="211">
        <v>600000</v>
      </c>
      <c r="E593" s="211">
        <v>444869.56</v>
      </c>
      <c r="F593" s="211">
        <v>604540.61</v>
      </c>
      <c r="G593" s="211">
        <v>656530.48</v>
      </c>
      <c r="H593" s="211">
        <v>554445.21</v>
      </c>
    </row>
    <row r="594" spans="1:8" x14ac:dyDescent="0.2">
      <c r="A594" s="210">
        <v>1631100610</v>
      </c>
      <c r="B594" s="210" t="s">
        <v>1070</v>
      </c>
      <c r="C594" s="219">
        <v>160000</v>
      </c>
      <c r="D594" s="211">
        <v>150000</v>
      </c>
      <c r="E594" s="211">
        <v>120134.19</v>
      </c>
      <c r="F594" s="211">
        <v>143041.56</v>
      </c>
      <c r="G594" s="211">
        <v>283651.84999999998</v>
      </c>
      <c r="H594" s="211">
        <v>448522.78</v>
      </c>
    </row>
    <row r="595" spans="1:8" x14ac:dyDescent="0.2">
      <c r="A595" s="210">
        <v>1632000620</v>
      </c>
      <c r="B595" s="210" t="s">
        <v>1071</v>
      </c>
      <c r="C595" s="219">
        <f>200000</f>
        <v>200000</v>
      </c>
      <c r="D595" s="211">
        <v>310000</v>
      </c>
      <c r="E595" s="211">
        <v>137007.81</v>
      </c>
      <c r="F595" s="211">
        <v>237210.48</v>
      </c>
      <c r="G595" s="211">
        <v>129795.81</v>
      </c>
      <c r="H595" s="211">
        <v>94124.32</v>
      </c>
    </row>
    <row r="596" spans="1:8" x14ac:dyDescent="0.2">
      <c r="A596" s="210">
        <v>1632000621</v>
      </c>
      <c r="B596" s="210" t="s">
        <v>33</v>
      </c>
      <c r="C596" s="219"/>
    </row>
    <row r="597" spans="1:8" x14ac:dyDescent="0.2">
      <c r="A597" s="210">
        <v>1632000622</v>
      </c>
      <c r="B597" s="210" t="s">
        <v>1128</v>
      </c>
      <c r="C597" s="219"/>
      <c r="G597" s="211">
        <v>-19991</v>
      </c>
      <c r="H597" s="211">
        <v>-372811.02</v>
      </c>
    </row>
    <row r="598" spans="1:8" x14ac:dyDescent="0.2">
      <c r="A598" s="210">
        <v>1632000623</v>
      </c>
      <c r="B598" s="210" t="s">
        <v>1072</v>
      </c>
      <c r="C598" s="219">
        <v>700000</v>
      </c>
      <c r="D598" s="211">
        <v>700000</v>
      </c>
      <c r="F598" s="211">
        <v>901434</v>
      </c>
      <c r="G598" s="211">
        <v>682545.16</v>
      </c>
      <c r="H598" s="211">
        <v>612271.53</v>
      </c>
    </row>
    <row r="599" spans="1:8" x14ac:dyDescent="0.2">
      <c r="A599" s="210">
        <v>1649000691</v>
      </c>
      <c r="B599" s="210" t="s">
        <v>1226</v>
      </c>
      <c r="C599" s="219"/>
      <c r="E599" s="211">
        <v>12607.71</v>
      </c>
      <c r="F599" s="211">
        <v>16810.28</v>
      </c>
      <c r="G599" s="211">
        <v>16810.28</v>
      </c>
      <c r="H599" s="211">
        <v>16810.28</v>
      </c>
    </row>
    <row r="600" spans="1:8" x14ac:dyDescent="0.2">
      <c r="A600" s="210">
        <v>1649000692</v>
      </c>
      <c r="B600" s="210" t="s">
        <v>34</v>
      </c>
      <c r="C600" s="219"/>
      <c r="E600" s="211">
        <v>8510.2099999999991</v>
      </c>
      <c r="F600" s="211">
        <v>12082.4</v>
      </c>
      <c r="G600" s="211">
        <v>12922.91</v>
      </c>
      <c r="H600" s="211">
        <v>13724.91</v>
      </c>
    </row>
    <row r="601" spans="1:8" x14ac:dyDescent="0.2">
      <c r="A601" s="210">
        <v>1649000693</v>
      </c>
      <c r="B601" s="210" t="s">
        <v>35</v>
      </c>
      <c r="C601" s="219"/>
      <c r="E601" s="211">
        <v>2093.25</v>
      </c>
      <c r="F601" s="211">
        <v>3046.47</v>
      </c>
      <c r="G601" s="211">
        <v>3339.72</v>
      </c>
      <c r="H601" s="211">
        <v>3255.04</v>
      </c>
    </row>
    <row r="602" spans="1:8" x14ac:dyDescent="0.2">
      <c r="A602" s="210">
        <v>1649000694</v>
      </c>
      <c r="B602" s="210" t="s">
        <v>1064</v>
      </c>
      <c r="C602" s="219">
        <v>1818943</v>
      </c>
      <c r="D602" s="211">
        <v>1864908</v>
      </c>
      <c r="E602" s="211">
        <v>1248287.1299999999</v>
      </c>
      <c r="F602" s="211">
        <v>1920687.03</v>
      </c>
      <c r="G602" s="211">
        <v>1984611.76</v>
      </c>
      <c r="H602" s="211">
        <v>2017028.43</v>
      </c>
    </row>
    <row r="603" spans="1:8" x14ac:dyDescent="0.2">
      <c r="A603" s="210">
        <v>1649000695</v>
      </c>
      <c r="B603" s="210" t="s">
        <v>1065</v>
      </c>
      <c r="C603" s="219">
        <v>245248</v>
      </c>
      <c r="D603" s="211">
        <v>278517</v>
      </c>
      <c r="E603" s="211">
        <v>198790.37</v>
      </c>
      <c r="F603" s="211">
        <v>333843.64</v>
      </c>
      <c r="G603" s="211">
        <v>476441.56</v>
      </c>
      <c r="H603" s="211">
        <v>692760.45</v>
      </c>
    </row>
    <row r="604" spans="1:8" x14ac:dyDescent="0.2">
      <c r="A604" s="210">
        <v>1649000696</v>
      </c>
      <c r="B604" s="210" t="s">
        <v>1066</v>
      </c>
      <c r="C604" s="219">
        <v>40398</v>
      </c>
      <c r="D604" s="211">
        <v>70107</v>
      </c>
      <c r="E604" s="211">
        <v>53055.46</v>
      </c>
      <c r="F604" s="211">
        <v>127457.72</v>
      </c>
      <c r="G604" s="211">
        <v>194233.75</v>
      </c>
      <c r="H604" s="211">
        <v>233661.57</v>
      </c>
    </row>
    <row r="605" spans="1:8" x14ac:dyDescent="0.2">
      <c r="A605" s="210">
        <v>1649100691</v>
      </c>
      <c r="B605" s="210" t="s">
        <v>1059</v>
      </c>
      <c r="C605" s="219">
        <f>6500463+600000</f>
        <v>7100463</v>
      </c>
      <c r="D605" s="211">
        <v>6812338</v>
      </c>
      <c r="E605" s="211">
        <v>4569382.72</v>
      </c>
      <c r="F605" s="211">
        <v>6806690.0300000003</v>
      </c>
      <c r="G605" s="211">
        <v>6272863.3399999999</v>
      </c>
      <c r="H605" s="211">
        <v>5760741.4900000002</v>
      </c>
    </row>
    <row r="606" spans="1:8" x14ac:dyDescent="0.2">
      <c r="A606" s="210">
        <v>1649100692</v>
      </c>
      <c r="B606" s="210" t="s">
        <v>1060</v>
      </c>
      <c r="C606" s="219">
        <v>1379877</v>
      </c>
      <c r="D606" s="211">
        <v>1594762</v>
      </c>
      <c r="E606" s="211">
        <v>1174523.19</v>
      </c>
      <c r="F606" s="211">
        <v>1846082.04</v>
      </c>
      <c r="G606" s="211">
        <v>1928481.81</v>
      </c>
      <c r="H606" s="211">
        <v>2145954.73</v>
      </c>
    </row>
    <row r="607" spans="1:8" x14ac:dyDescent="0.2">
      <c r="A607" s="210">
        <v>1649100693</v>
      </c>
      <c r="B607" s="210" t="s">
        <v>1061</v>
      </c>
      <c r="C607" s="219">
        <v>460835</v>
      </c>
      <c r="D607" s="211">
        <v>583346</v>
      </c>
      <c r="E607" s="211">
        <v>380925.62</v>
      </c>
      <c r="F607" s="211">
        <v>706525.04</v>
      </c>
      <c r="G607" s="211">
        <v>794505.45</v>
      </c>
      <c r="H607" s="211">
        <v>779348.47999999998</v>
      </c>
    </row>
    <row r="608" spans="1:8" x14ac:dyDescent="0.2">
      <c r="A608" s="210">
        <v>1700000981</v>
      </c>
      <c r="B608" s="210" t="s">
        <v>74</v>
      </c>
      <c r="C608" s="219"/>
      <c r="G608" s="211">
        <v>175</v>
      </c>
    </row>
    <row r="609" spans="1:8" x14ac:dyDescent="0.2">
      <c r="A609" s="210">
        <v>1710000399</v>
      </c>
      <c r="B609" s="210" t="s">
        <v>24</v>
      </c>
      <c r="C609" s="219"/>
    </row>
    <row r="610" spans="1:8" x14ac:dyDescent="0.2">
      <c r="A610" s="210">
        <v>1711000110</v>
      </c>
      <c r="B610" s="210" t="s">
        <v>521</v>
      </c>
      <c r="C610" s="219">
        <v>1895691</v>
      </c>
      <c r="D610" s="211">
        <v>1575352</v>
      </c>
      <c r="E610" s="211">
        <v>1175880.96</v>
      </c>
      <c r="F610" s="211">
        <v>1516362.26</v>
      </c>
      <c r="G610" s="211">
        <v>1568674.15</v>
      </c>
      <c r="H610" s="211">
        <v>1553984.81</v>
      </c>
    </row>
    <row r="611" spans="1:8" x14ac:dyDescent="0.2">
      <c r="A611" s="210">
        <v>1711000511</v>
      </c>
      <c r="B611" s="210" t="s">
        <v>644</v>
      </c>
      <c r="C611" s="219">
        <v>2500</v>
      </c>
      <c r="D611" s="211">
        <v>1800</v>
      </c>
      <c r="E611" s="211">
        <v>1800</v>
      </c>
      <c r="F611" s="211">
        <v>1932</v>
      </c>
      <c r="G611" s="211">
        <v>1800</v>
      </c>
      <c r="H611" s="211">
        <v>4909.1000000000004</v>
      </c>
    </row>
    <row r="612" spans="1:8" x14ac:dyDescent="0.2">
      <c r="A612" s="210">
        <v>1711000512</v>
      </c>
      <c r="B612" s="210" t="s">
        <v>645</v>
      </c>
      <c r="C612" s="219"/>
      <c r="G612" s="211">
        <v>4920</v>
      </c>
      <c r="H612" s="211">
        <v>625</v>
      </c>
    </row>
    <row r="613" spans="1:8" x14ac:dyDescent="0.2">
      <c r="A613" s="210">
        <v>1711000521</v>
      </c>
      <c r="B613" s="210" t="s">
        <v>646</v>
      </c>
      <c r="C613" s="219">
        <f>11000+18490</f>
        <v>29490</v>
      </c>
      <c r="D613" s="211">
        <v>20700</v>
      </c>
      <c r="E613" s="211">
        <v>1296</v>
      </c>
      <c r="G613" s="211">
        <v>2000</v>
      </c>
      <c r="H613" s="211">
        <v>2600</v>
      </c>
    </row>
    <row r="614" spans="1:8" x14ac:dyDescent="0.2">
      <c r="A614" s="210">
        <v>1711000560</v>
      </c>
      <c r="B614" s="210" t="s">
        <v>647</v>
      </c>
      <c r="C614" s="219">
        <f>450*12+2600+1500-450*12</f>
        <v>4100</v>
      </c>
      <c r="D614" s="211">
        <v>9120</v>
      </c>
      <c r="E614" s="211">
        <v>4926.38</v>
      </c>
      <c r="F614" s="211">
        <v>9470.02</v>
      </c>
      <c r="G614" s="211">
        <v>8360.58</v>
      </c>
      <c r="H614" s="211">
        <v>7337.13</v>
      </c>
    </row>
    <row r="615" spans="1:8" x14ac:dyDescent="0.2">
      <c r="A615" s="210">
        <v>1711000570</v>
      </c>
      <c r="B615" s="210" t="s">
        <v>36</v>
      </c>
      <c r="C615" s="219"/>
    </row>
    <row r="616" spans="1:8" x14ac:dyDescent="0.2">
      <c r="A616" s="210">
        <v>1711000580</v>
      </c>
      <c r="B616" s="210" t="s">
        <v>648</v>
      </c>
      <c r="C616" s="219"/>
      <c r="F616" s="211">
        <v>535.87</v>
      </c>
      <c r="H616" s="211">
        <v>861.9</v>
      </c>
    </row>
    <row r="617" spans="1:8" x14ac:dyDescent="0.2">
      <c r="A617" s="210">
        <v>1711000581</v>
      </c>
      <c r="B617" s="276" t="s">
        <v>1678</v>
      </c>
      <c r="C617" s="219">
        <f>450*12</f>
        <v>5400</v>
      </c>
    </row>
    <row r="618" spans="1:8" x14ac:dyDescent="0.2">
      <c r="A618" s="210">
        <v>1711000731</v>
      </c>
      <c r="B618" s="210" t="s">
        <v>1527</v>
      </c>
      <c r="C618" s="219"/>
      <c r="F618" s="211">
        <v>18658.310000000001</v>
      </c>
      <c r="G618" s="211">
        <v>35598.870000000003</v>
      </c>
      <c r="H618" s="211">
        <v>25657.07</v>
      </c>
    </row>
    <row r="619" spans="1:8" x14ac:dyDescent="0.2">
      <c r="A619" s="210">
        <v>1711000760</v>
      </c>
      <c r="B619" s="210" t="s">
        <v>552</v>
      </c>
      <c r="C619" s="219">
        <f>1574*12+12</f>
        <v>18900</v>
      </c>
      <c r="H619" s="211">
        <v>13465.55</v>
      </c>
    </row>
    <row r="620" spans="1:8" x14ac:dyDescent="0.2">
      <c r="A620" s="210">
        <v>1711000780</v>
      </c>
      <c r="B620" s="210" t="s">
        <v>650</v>
      </c>
      <c r="C620" s="219">
        <v>2000</v>
      </c>
      <c r="D620" s="211">
        <v>2080</v>
      </c>
      <c r="E620" s="211">
        <v>1479.4</v>
      </c>
      <c r="F620" s="211">
        <v>3485.36</v>
      </c>
      <c r="G620" s="211">
        <v>78077.58</v>
      </c>
      <c r="H620" s="211">
        <v>3124.3</v>
      </c>
    </row>
    <row r="621" spans="1:8" x14ac:dyDescent="0.2">
      <c r="A621" s="210">
        <v>1711000930</v>
      </c>
      <c r="B621" s="210" t="s">
        <v>651</v>
      </c>
      <c r="C621" s="219">
        <v>8500</v>
      </c>
      <c r="D621" s="211">
        <v>10000</v>
      </c>
      <c r="E621" s="211">
        <v>2057</v>
      </c>
      <c r="F621" s="211">
        <v>10000</v>
      </c>
      <c r="G621" s="211">
        <v>2540</v>
      </c>
      <c r="H621" s="211">
        <v>10000</v>
      </c>
    </row>
    <row r="622" spans="1:8" x14ac:dyDescent="0.2">
      <c r="A622" s="210">
        <v>1711001731</v>
      </c>
      <c r="B622" s="210" t="s">
        <v>37</v>
      </c>
      <c r="C622" s="219">
        <v>0</v>
      </c>
    </row>
    <row r="623" spans="1:8" x14ac:dyDescent="0.2">
      <c r="A623" s="210">
        <v>1711003731</v>
      </c>
      <c r="B623" s="210" t="s">
        <v>1605</v>
      </c>
      <c r="C623" s="219">
        <v>0</v>
      </c>
      <c r="D623" s="211">
        <v>11245</v>
      </c>
      <c r="E623" s="211">
        <v>975</v>
      </c>
      <c r="F623" s="211">
        <v>8270</v>
      </c>
    </row>
    <row r="624" spans="1:8" x14ac:dyDescent="0.2">
      <c r="A624" s="210">
        <v>1711100980</v>
      </c>
      <c r="B624" s="210" t="s">
        <v>652</v>
      </c>
      <c r="C624" s="219">
        <v>125000</v>
      </c>
      <c r="D624" s="211">
        <v>123500</v>
      </c>
      <c r="E624" s="211">
        <v>69121.850000000006</v>
      </c>
      <c r="F624" s="211">
        <v>158215.70000000001</v>
      </c>
      <c r="G624" s="211">
        <v>54487.5</v>
      </c>
      <c r="H624" s="211">
        <v>117894.03</v>
      </c>
    </row>
    <row r="625" spans="1:8" x14ac:dyDescent="0.2">
      <c r="A625" s="210">
        <v>1712000110</v>
      </c>
      <c r="B625" s="210" t="s">
        <v>38</v>
      </c>
      <c r="C625" s="219">
        <v>2622975</v>
      </c>
      <c r="D625" s="211">
        <v>1895628</v>
      </c>
      <c r="E625" s="211">
        <v>1487156.34</v>
      </c>
      <c r="F625" s="211">
        <v>1856982.6</v>
      </c>
      <c r="G625" s="211">
        <v>1608773.59</v>
      </c>
      <c r="H625" s="211">
        <v>390136.02</v>
      </c>
    </row>
    <row r="626" spans="1:8" x14ac:dyDescent="0.2">
      <c r="A626" s="210">
        <v>1712000731</v>
      </c>
      <c r="B626" s="210" t="s">
        <v>46</v>
      </c>
      <c r="C626" s="219">
        <v>111525</v>
      </c>
      <c r="D626" s="211">
        <v>114000</v>
      </c>
      <c r="E626" s="211">
        <v>90063.63</v>
      </c>
      <c r="F626" s="211">
        <v>110524.06</v>
      </c>
      <c r="G626" s="211">
        <v>114228.45</v>
      </c>
      <c r="H626" s="211">
        <v>41649.480000000003</v>
      </c>
    </row>
    <row r="627" spans="1:8" x14ac:dyDescent="0.2">
      <c r="A627" s="210">
        <v>1712000750</v>
      </c>
      <c r="B627" s="210" t="s">
        <v>714</v>
      </c>
      <c r="C627" s="219"/>
      <c r="G627" s="211">
        <v>14430</v>
      </c>
    </row>
    <row r="628" spans="1:8" x14ac:dyDescent="0.2">
      <c r="A628" s="210">
        <v>1712000811</v>
      </c>
      <c r="B628" s="210" t="s">
        <v>39</v>
      </c>
      <c r="C628" s="219"/>
    </row>
    <row r="629" spans="1:8" x14ac:dyDescent="0.2">
      <c r="A629" s="210">
        <v>1712000910</v>
      </c>
      <c r="B629" s="210" t="s">
        <v>704</v>
      </c>
      <c r="C629" s="219"/>
    </row>
    <row r="630" spans="1:8" x14ac:dyDescent="0.2">
      <c r="A630" s="210">
        <v>1712001731</v>
      </c>
      <c r="B630" s="210" t="s">
        <v>47</v>
      </c>
      <c r="C630" s="219">
        <v>107961</v>
      </c>
      <c r="D630" s="211">
        <v>114000</v>
      </c>
      <c r="E630" s="211">
        <v>78432.539999999994</v>
      </c>
      <c r="F630" s="211">
        <v>105035.91</v>
      </c>
      <c r="G630" s="211">
        <v>104951.07</v>
      </c>
      <c r="H630" s="211">
        <v>36051.370000000003</v>
      </c>
    </row>
    <row r="631" spans="1:8" x14ac:dyDescent="0.2">
      <c r="A631" s="210">
        <v>1712002731</v>
      </c>
      <c r="B631" s="210" t="s">
        <v>256</v>
      </c>
      <c r="C631" s="219">
        <v>118005</v>
      </c>
      <c r="D631" s="211">
        <v>114000</v>
      </c>
      <c r="E631" s="211">
        <v>82192.25</v>
      </c>
      <c r="F631" s="211">
        <v>108325.29</v>
      </c>
      <c r="G631" s="211">
        <v>111327.81</v>
      </c>
      <c r="H631" s="211">
        <v>26037.22</v>
      </c>
    </row>
    <row r="632" spans="1:8" x14ac:dyDescent="0.2">
      <c r="A632" s="210">
        <v>1712003731</v>
      </c>
      <c r="B632" s="210" t="s">
        <v>257</v>
      </c>
      <c r="C632" s="219">
        <v>106983</v>
      </c>
      <c r="D632" s="211">
        <v>109800</v>
      </c>
      <c r="E632" s="211">
        <v>70376.94</v>
      </c>
      <c r="F632" s="211">
        <v>75718.58</v>
      </c>
      <c r="G632" s="211">
        <v>105752.65</v>
      </c>
      <c r="H632" s="211">
        <v>17204.599999999999</v>
      </c>
    </row>
    <row r="633" spans="1:8" x14ac:dyDescent="0.2">
      <c r="A633" s="210">
        <v>1712004731</v>
      </c>
      <c r="B633" s="210" t="s">
        <v>104</v>
      </c>
      <c r="C633" s="219">
        <v>102745</v>
      </c>
      <c r="D633" s="211">
        <v>104000</v>
      </c>
      <c r="E633" s="211">
        <v>71087.28</v>
      </c>
      <c r="F633" s="211">
        <v>75083.86</v>
      </c>
      <c r="G633" s="211">
        <v>28836.89</v>
      </c>
      <c r="H633" s="211">
        <v>8958.61</v>
      </c>
    </row>
    <row r="634" spans="1:8" x14ac:dyDescent="0.2">
      <c r="A634" s="210">
        <v>1712005731</v>
      </c>
      <c r="B634" s="210" t="s">
        <v>1526</v>
      </c>
      <c r="C634" s="219">
        <v>136969</v>
      </c>
      <c r="D634" s="211">
        <v>120000</v>
      </c>
      <c r="E634" s="211">
        <v>74676.84</v>
      </c>
      <c r="F634" s="211">
        <v>55784</v>
      </c>
    </row>
    <row r="635" spans="1:8" x14ac:dyDescent="0.2">
      <c r="A635" s="210">
        <v>1712006731</v>
      </c>
      <c r="B635" s="210" t="s">
        <v>1525</v>
      </c>
      <c r="C635" s="219">
        <v>145572</v>
      </c>
      <c r="D635" s="211">
        <v>120000</v>
      </c>
      <c r="E635" s="211">
        <v>81500.41</v>
      </c>
      <c r="F635" s="211">
        <v>62234.65</v>
      </c>
    </row>
    <row r="636" spans="1:8" x14ac:dyDescent="0.2">
      <c r="A636" s="210">
        <v>1712200110</v>
      </c>
      <c r="B636" s="210" t="s">
        <v>521</v>
      </c>
      <c r="C636" s="219">
        <v>215443</v>
      </c>
      <c r="D636" s="211">
        <v>216352</v>
      </c>
      <c r="E636" s="211">
        <v>166767.78</v>
      </c>
      <c r="F636" s="211">
        <v>213019.58</v>
      </c>
      <c r="G636" s="211">
        <v>233346.11</v>
      </c>
      <c r="H636" s="211">
        <v>386301.57</v>
      </c>
    </row>
    <row r="637" spans="1:8" x14ac:dyDescent="0.2">
      <c r="A637" s="210">
        <v>1712200210</v>
      </c>
      <c r="B637" s="210" t="s">
        <v>248</v>
      </c>
      <c r="C637" s="219"/>
    </row>
    <row r="638" spans="1:8" x14ac:dyDescent="0.2">
      <c r="A638" s="210">
        <v>1712200731</v>
      </c>
      <c r="B638" s="210" t="s">
        <v>105</v>
      </c>
      <c r="C638" s="219"/>
      <c r="H638" s="211">
        <v>9101.39</v>
      </c>
    </row>
    <row r="639" spans="1:8" x14ac:dyDescent="0.2">
      <c r="A639" s="210">
        <v>1712200740</v>
      </c>
      <c r="B639" s="210" t="s">
        <v>654</v>
      </c>
      <c r="C639" s="219"/>
      <c r="G639" s="211">
        <v>10000</v>
      </c>
      <c r="H639" s="211">
        <v>10000</v>
      </c>
    </row>
    <row r="640" spans="1:8" x14ac:dyDescent="0.2">
      <c r="A640" s="210">
        <v>1712200750</v>
      </c>
      <c r="B640" s="210" t="s">
        <v>655</v>
      </c>
      <c r="C640" s="219"/>
      <c r="G640" s="211">
        <v>411353.13</v>
      </c>
      <c r="H640" s="211">
        <v>395980</v>
      </c>
    </row>
    <row r="641" spans="1:8" x14ac:dyDescent="0.2">
      <c r="A641" s="210">
        <v>1712200751</v>
      </c>
      <c r="B641" s="210" t="s">
        <v>656</v>
      </c>
      <c r="C641" s="220">
        <f>731000*5+760000+750000*2+770000+810000+731000*2+43000</f>
        <v>9000000</v>
      </c>
      <c r="D641" s="211">
        <v>8442500</v>
      </c>
      <c r="E641" s="211">
        <v>4473214</v>
      </c>
      <c r="F641" s="211">
        <v>8965459</v>
      </c>
      <c r="G641" s="211">
        <v>7877400</v>
      </c>
      <c r="H641" s="211">
        <v>6517709</v>
      </c>
    </row>
    <row r="642" spans="1:8" x14ac:dyDescent="0.2">
      <c r="A642" s="210">
        <v>1712200752</v>
      </c>
      <c r="B642" s="210" t="s">
        <v>657</v>
      </c>
      <c r="C642" s="220">
        <f>140000-40000+70000</f>
        <v>170000</v>
      </c>
      <c r="D642" s="211">
        <v>100000</v>
      </c>
      <c r="E642" s="211">
        <v>99000</v>
      </c>
      <c r="F642" s="211">
        <v>85000</v>
      </c>
      <c r="G642" s="211">
        <v>72080</v>
      </c>
      <c r="H642" s="211">
        <v>106863.13</v>
      </c>
    </row>
    <row r="643" spans="1:8" x14ac:dyDescent="0.2">
      <c r="A643" s="210">
        <v>1712200753</v>
      </c>
      <c r="B643" s="210" t="s">
        <v>658</v>
      </c>
      <c r="C643" s="219">
        <f>15755+6000-55</f>
        <v>21700</v>
      </c>
      <c r="D643" s="211">
        <v>20800</v>
      </c>
      <c r="E643" s="211">
        <v>11634.57</v>
      </c>
      <c r="F643" s="211">
        <v>21534.55</v>
      </c>
      <c r="G643" s="211">
        <v>18501.09</v>
      </c>
      <c r="H643" s="211">
        <v>4756.97</v>
      </c>
    </row>
    <row r="644" spans="1:8" x14ac:dyDescent="0.2">
      <c r="A644" s="210">
        <v>1712200754</v>
      </c>
      <c r="B644" s="210" t="s">
        <v>1550</v>
      </c>
      <c r="C644" s="220">
        <f>60000+20000+210000</f>
        <v>290000</v>
      </c>
      <c r="D644" s="211">
        <v>94000</v>
      </c>
      <c r="E644" s="211">
        <v>58500</v>
      </c>
    </row>
    <row r="645" spans="1:8" x14ac:dyDescent="0.2">
      <c r="A645" s="210">
        <v>1712200755</v>
      </c>
      <c r="B645" s="217" t="s">
        <v>1643</v>
      </c>
      <c r="C645" s="220">
        <f>14040*5+40000*7</f>
        <v>350200</v>
      </c>
    </row>
    <row r="646" spans="1:8" x14ac:dyDescent="0.2">
      <c r="A646" s="210">
        <v>1712201731</v>
      </c>
      <c r="B646" s="210" t="s">
        <v>659</v>
      </c>
      <c r="C646" s="219">
        <v>0</v>
      </c>
      <c r="D646" s="211">
        <v>14000</v>
      </c>
      <c r="E646" s="211">
        <v>8358.25</v>
      </c>
      <c r="F646" s="211">
        <v>18685.46</v>
      </c>
      <c r="G646" s="211">
        <v>11438.6</v>
      </c>
      <c r="H646" s="211">
        <v>11769.6</v>
      </c>
    </row>
    <row r="647" spans="1:8" x14ac:dyDescent="0.2">
      <c r="A647" s="210">
        <v>1712202731</v>
      </c>
      <c r="B647" s="210" t="s">
        <v>106</v>
      </c>
      <c r="C647" s="219"/>
      <c r="G647" s="211">
        <v>3992.49</v>
      </c>
      <c r="H647" s="211">
        <v>10921.78</v>
      </c>
    </row>
    <row r="648" spans="1:8" x14ac:dyDescent="0.2">
      <c r="A648" s="210">
        <v>1712203731</v>
      </c>
      <c r="B648" s="210" t="s">
        <v>107</v>
      </c>
      <c r="C648" s="219"/>
      <c r="H648" s="211">
        <v>8962.2800000000007</v>
      </c>
    </row>
    <row r="649" spans="1:8" x14ac:dyDescent="0.2">
      <c r="A649" s="210">
        <v>1712204731</v>
      </c>
      <c r="B649" s="210" t="s">
        <v>108</v>
      </c>
      <c r="C649" s="219"/>
      <c r="H649" s="211">
        <v>9236.5300000000007</v>
      </c>
    </row>
    <row r="650" spans="1:8" x14ac:dyDescent="0.2">
      <c r="A650" s="210">
        <v>1712205731</v>
      </c>
      <c r="B650" s="210" t="s">
        <v>109</v>
      </c>
      <c r="C650" s="219"/>
      <c r="G650" s="211">
        <v>1002.74</v>
      </c>
      <c r="H650" s="211">
        <v>316.64</v>
      </c>
    </row>
    <row r="651" spans="1:8" x14ac:dyDescent="0.2">
      <c r="A651" s="210">
        <v>1712207731</v>
      </c>
      <c r="B651" s="210" t="s">
        <v>1524</v>
      </c>
      <c r="C651" s="219"/>
    </row>
    <row r="652" spans="1:8" x14ac:dyDescent="0.2">
      <c r="A652" s="210">
        <v>1712210750</v>
      </c>
      <c r="B652" s="210" t="s">
        <v>75</v>
      </c>
      <c r="C652" s="220">
        <v>600000</v>
      </c>
      <c r="D652" s="211">
        <v>586400</v>
      </c>
      <c r="E652" s="211">
        <v>337826</v>
      </c>
      <c r="F652" s="211">
        <v>218014</v>
      </c>
      <c r="G652" s="211">
        <v>393754</v>
      </c>
    </row>
    <row r="653" spans="1:8" x14ac:dyDescent="0.2">
      <c r="A653" s="210">
        <v>1712210751</v>
      </c>
      <c r="B653" s="210" t="s">
        <v>1547</v>
      </c>
      <c r="C653" s="220">
        <v>318000</v>
      </c>
      <c r="D653" s="211">
        <v>318000</v>
      </c>
      <c r="E653" s="211">
        <v>142454.15</v>
      </c>
      <c r="F653" s="211">
        <v>10614</v>
      </c>
    </row>
    <row r="654" spans="1:8" x14ac:dyDescent="0.2">
      <c r="A654" s="210">
        <v>1712300110</v>
      </c>
      <c r="B654" s="210" t="s">
        <v>522</v>
      </c>
      <c r="C654" s="219">
        <v>677972</v>
      </c>
      <c r="D654" s="211">
        <v>656382</v>
      </c>
      <c r="E654" s="211">
        <v>507430.46</v>
      </c>
      <c r="F654" s="211">
        <v>640295.24</v>
      </c>
      <c r="G654" s="211">
        <v>737861.27</v>
      </c>
      <c r="H654" s="211">
        <v>620532.09</v>
      </c>
    </row>
    <row r="655" spans="1:8" x14ac:dyDescent="0.2">
      <c r="A655" s="210">
        <v>1712300430</v>
      </c>
      <c r="B655" s="210" t="s">
        <v>663</v>
      </c>
      <c r="C655" s="219"/>
    </row>
    <row r="656" spans="1:8" x14ac:dyDescent="0.2">
      <c r="A656" s="210">
        <v>1712300560</v>
      </c>
      <c r="B656" s="210" t="s">
        <v>664</v>
      </c>
      <c r="C656" s="219">
        <v>1500</v>
      </c>
      <c r="D656" s="211">
        <v>2000</v>
      </c>
      <c r="E656" s="211">
        <v>409.31</v>
      </c>
      <c r="F656" s="211">
        <v>1160.32</v>
      </c>
      <c r="G656" s="211">
        <v>1985.04</v>
      </c>
      <c r="H656" s="211">
        <v>932.53</v>
      </c>
    </row>
    <row r="657" spans="1:8" x14ac:dyDescent="0.2">
      <c r="A657" s="210">
        <v>1712300740</v>
      </c>
      <c r="B657" s="226" t="s">
        <v>665</v>
      </c>
      <c r="C657" s="219"/>
      <c r="F657" s="211">
        <v>3114</v>
      </c>
      <c r="H657" s="211">
        <v>3504.9</v>
      </c>
    </row>
    <row r="658" spans="1:8" x14ac:dyDescent="0.2">
      <c r="A658" s="210">
        <v>1712300750</v>
      </c>
      <c r="B658" s="210" t="s">
        <v>666</v>
      </c>
      <c r="C658" s="219">
        <f>23632*(146.9*0.8*1.17+107.76*1.17)+3984*(121.9*0.8*1.17+107.76*1.17)+344*(219*1.17)+1162/2*(260*1.17+107.76*1.17)+1162/2*(260*1.17)</f>
        <v>7700608.9368000003</v>
      </c>
      <c r="D658" s="211">
        <v>6326477</v>
      </c>
      <c r="E658" s="211">
        <v>5202134</v>
      </c>
      <c r="F658" s="211">
        <v>7673814</v>
      </c>
      <c r="G658" s="211">
        <v>7407099</v>
      </c>
      <c r="H658" s="211">
        <v>7298799</v>
      </c>
    </row>
    <row r="659" spans="1:8" x14ac:dyDescent="0.2">
      <c r="A659" s="210">
        <v>1712300751</v>
      </c>
      <c r="B659" s="210" t="s">
        <v>667</v>
      </c>
      <c r="C659" s="219"/>
      <c r="H659" s="211">
        <v>1856844.86</v>
      </c>
    </row>
    <row r="660" spans="1:8" x14ac:dyDescent="0.2">
      <c r="A660" s="210">
        <v>1712300752</v>
      </c>
      <c r="B660" s="210" t="s">
        <v>668</v>
      </c>
      <c r="C660" s="219">
        <f>28000*12</f>
        <v>336000</v>
      </c>
      <c r="D660" s="211">
        <v>326700</v>
      </c>
      <c r="E660" s="211">
        <v>188654</v>
      </c>
      <c r="F660" s="211">
        <v>313638.40000000002</v>
      </c>
      <c r="G660" s="211">
        <v>562578.24</v>
      </c>
      <c r="H660" s="211">
        <v>317173</v>
      </c>
    </row>
    <row r="661" spans="1:8" x14ac:dyDescent="0.2">
      <c r="A661" s="210">
        <v>1712300753</v>
      </c>
      <c r="B661" s="210" t="s">
        <v>669</v>
      </c>
      <c r="C661" s="219">
        <v>100000</v>
      </c>
      <c r="D661" s="211">
        <v>60000</v>
      </c>
      <c r="F661" s="211">
        <v>518984.45</v>
      </c>
      <c r="G661" s="211">
        <v>1023213</v>
      </c>
      <c r="H661" s="211">
        <v>1010131</v>
      </c>
    </row>
    <row r="662" spans="1:8" x14ac:dyDescent="0.2">
      <c r="A662" s="210">
        <v>1712300754</v>
      </c>
      <c r="B662" s="210" t="s">
        <v>670</v>
      </c>
      <c r="C662" s="219"/>
      <c r="H662" s="211">
        <v>107058.26</v>
      </c>
    </row>
    <row r="663" spans="1:8" x14ac:dyDescent="0.2">
      <c r="A663" s="210">
        <v>1712300755</v>
      </c>
      <c r="B663" s="210" t="s">
        <v>671</v>
      </c>
      <c r="C663" s="219">
        <f>14000*12</f>
        <v>168000</v>
      </c>
      <c r="D663" s="211">
        <v>137400</v>
      </c>
      <c r="E663" s="211">
        <v>114220.21</v>
      </c>
      <c r="F663" s="211">
        <v>149867</v>
      </c>
      <c r="G663" s="211">
        <v>52557</v>
      </c>
      <c r="H663" s="211">
        <v>162219.74</v>
      </c>
    </row>
    <row r="664" spans="1:8" x14ac:dyDescent="0.2">
      <c r="A664" s="210">
        <v>1712300756</v>
      </c>
      <c r="B664" s="210" t="s">
        <v>1229</v>
      </c>
      <c r="C664" s="219">
        <f>7300*12</f>
        <v>87600</v>
      </c>
      <c r="D664" s="211">
        <v>85500</v>
      </c>
      <c r="E664" s="211">
        <v>56861</v>
      </c>
      <c r="F664" s="211">
        <v>103533</v>
      </c>
      <c r="G664" s="211">
        <v>123045</v>
      </c>
      <c r="H664" s="211">
        <v>44155</v>
      </c>
    </row>
    <row r="665" spans="1:8" x14ac:dyDescent="0.2">
      <c r="A665" s="210">
        <v>1712300757</v>
      </c>
      <c r="B665" s="210" t="s">
        <v>1523</v>
      </c>
      <c r="C665" s="219">
        <v>20000</v>
      </c>
      <c r="D665" s="211">
        <v>15000</v>
      </c>
      <c r="E665" s="211">
        <v>14410.42</v>
      </c>
      <c r="F665" s="211">
        <v>15823</v>
      </c>
    </row>
    <row r="666" spans="1:8" x14ac:dyDescent="0.2">
      <c r="A666" s="210">
        <v>1712301731</v>
      </c>
      <c r="B666" s="210" t="s">
        <v>43</v>
      </c>
      <c r="C666" s="219"/>
    </row>
    <row r="667" spans="1:8" x14ac:dyDescent="0.2">
      <c r="A667" s="210">
        <v>1712302731</v>
      </c>
      <c r="B667" s="210" t="s">
        <v>44</v>
      </c>
      <c r="C667" s="219"/>
    </row>
    <row r="668" spans="1:8" x14ac:dyDescent="0.2">
      <c r="A668" s="210">
        <v>1712303731</v>
      </c>
      <c r="B668" s="210" t="s">
        <v>672</v>
      </c>
      <c r="C668" s="219">
        <v>236773</v>
      </c>
      <c r="D668" s="211">
        <v>205000</v>
      </c>
      <c r="E668" s="211">
        <v>117916.87</v>
      </c>
      <c r="F668" s="211">
        <v>144252.72</v>
      </c>
      <c r="G668" s="211">
        <v>155995.76</v>
      </c>
      <c r="H668" s="211">
        <v>137336.19</v>
      </c>
    </row>
    <row r="669" spans="1:8" x14ac:dyDescent="0.2">
      <c r="A669" s="210">
        <v>1712304731</v>
      </c>
      <c r="B669" s="210" t="s">
        <v>673</v>
      </c>
      <c r="C669" s="219">
        <v>126818</v>
      </c>
      <c r="D669" s="211">
        <v>120000</v>
      </c>
      <c r="E669" s="211">
        <v>86162.21</v>
      </c>
      <c r="F669" s="211">
        <v>218187.21</v>
      </c>
      <c r="G669" s="211">
        <v>263312.5</v>
      </c>
      <c r="H669" s="211">
        <v>287118.90999999997</v>
      </c>
    </row>
    <row r="670" spans="1:8" x14ac:dyDescent="0.2">
      <c r="A670" s="210">
        <v>1712305731</v>
      </c>
      <c r="B670" s="210" t="s">
        <v>110</v>
      </c>
      <c r="C670" s="219"/>
      <c r="F670" s="211">
        <v>1463</v>
      </c>
      <c r="G670" s="211">
        <v>2658.94</v>
      </c>
      <c r="H670" s="211">
        <v>8199.9500000000007</v>
      </c>
    </row>
    <row r="671" spans="1:8" x14ac:dyDescent="0.2">
      <c r="A671" s="210">
        <v>1712306731</v>
      </c>
      <c r="B671" s="210" t="s">
        <v>1230</v>
      </c>
      <c r="C671" s="219"/>
      <c r="F671" s="211">
        <v>515</v>
      </c>
      <c r="H671" s="211">
        <v>1683</v>
      </c>
    </row>
    <row r="672" spans="1:8" x14ac:dyDescent="0.2">
      <c r="A672" s="210">
        <v>1712307731</v>
      </c>
      <c r="B672" s="210" t="s">
        <v>111</v>
      </c>
      <c r="C672" s="219"/>
      <c r="H672" s="211">
        <v>2756</v>
      </c>
    </row>
    <row r="673" spans="1:8" x14ac:dyDescent="0.2">
      <c r="A673" s="210">
        <v>1712308731</v>
      </c>
      <c r="B673" s="210" t="s">
        <v>45</v>
      </c>
      <c r="C673" s="219"/>
    </row>
    <row r="674" spans="1:8" x14ac:dyDescent="0.2">
      <c r="A674" s="210">
        <v>1712309530</v>
      </c>
      <c r="B674" s="210" t="s">
        <v>1522</v>
      </c>
      <c r="C674" s="219"/>
      <c r="F674" s="211">
        <v>4454.5</v>
      </c>
      <c r="G674" s="211">
        <v>76293.919999999998</v>
      </c>
    </row>
    <row r="675" spans="1:8" x14ac:dyDescent="0.2">
      <c r="A675" s="210">
        <v>1712309731</v>
      </c>
      <c r="B675" s="210" t="s">
        <v>1521</v>
      </c>
      <c r="C675" s="219"/>
      <c r="H675" s="211">
        <v>80129.789999999994</v>
      </c>
    </row>
    <row r="676" spans="1:8" x14ac:dyDescent="0.2">
      <c r="A676" s="210">
        <v>1712310110</v>
      </c>
      <c r="B676" s="210" t="s">
        <v>1520</v>
      </c>
      <c r="C676" s="219">
        <v>403980</v>
      </c>
      <c r="D676" s="211">
        <v>381364</v>
      </c>
      <c r="E676" s="211">
        <v>283752.52</v>
      </c>
      <c r="F676" s="211">
        <v>171302.42</v>
      </c>
    </row>
    <row r="677" spans="1:8" x14ac:dyDescent="0.2">
      <c r="A677" s="210">
        <v>1712311731</v>
      </c>
      <c r="B677" s="210" t="s">
        <v>677</v>
      </c>
      <c r="C677" s="219">
        <v>1647</v>
      </c>
      <c r="D677" s="211">
        <v>1200</v>
      </c>
      <c r="E677" s="211">
        <v>736.9</v>
      </c>
      <c r="F677" s="211">
        <v>1146</v>
      </c>
      <c r="G677" s="211">
        <v>1146</v>
      </c>
      <c r="H677" s="211">
        <v>1166</v>
      </c>
    </row>
    <row r="678" spans="1:8" x14ac:dyDescent="0.2">
      <c r="A678" s="210">
        <v>1712312731</v>
      </c>
      <c r="B678" s="210" t="s">
        <v>678</v>
      </c>
      <c r="C678" s="219">
        <v>65475</v>
      </c>
      <c r="D678" s="211">
        <v>63300</v>
      </c>
      <c r="E678" s="211">
        <v>31732.3</v>
      </c>
      <c r="F678" s="211">
        <v>81086.52</v>
      </c>
      <c r="G678" s="211">
        <v>125808.37</v>
      </c>
      <c r="H678" s="211">
        <v>173893.61</v>
      </c>
    </row>
    <row r="679" spans="1:8" x14ac:dyDescent="0.2">
      <c r="A679" s="210">
        <v>1712314731</v>
      </c>
      <c r="B679" s="210" t="s">
        <v>679</v>
      </c>
      <c r="C679" s="219">
        <v>115229</v>
      </c>
      <c r="D679" s="211">
        <v>112000</v>
      </c>
      <c r="E679" s="211">
        <v>68856.98</v>
      </c>
      <c r="F679" s="211">
        <v>114749.13</v>
      </c>
      <c r="G679" s="211">
        <v>119926.71</v>
      </c>
      <c r="H679" s="211">
        <v>131965.85</v>
      </c>
    </row>
    <row r="680" spans="1:8" x14ac:dyDescent="0.2">
      <c r="A680" s="210">
        <v>1712316731</v>
      </c>
      <c r="B680" s="210" t="s">
        <v>680</v>
      </c>
      <c r="C680" s="219">
        <v>115751</v>
      </c>
      <c r="D680" s="211">
        <v>113000</v>
      </c>
      <c r="E680" s="211">
        <v>73472.100000000006</v>
      </c>
      <c r="F680" s="211">
        <v>126335.54</v>
      </c>
      <c r="G680" s="211">
        <v>134277.53</v>
      </c>
      <c r="H680" s="211">
        <v>146341.98000000001</v>
      </c>
    </row>
    <row r="681" spans="1:8" x14ac:dyDescent="0.2">
      <c r="A681" s="210">
        <v>1712317731</v>
      </c>
      <c r="B681" s="210" t="s">
        <v>112</v>
      </c>
      <c r="C681" s="219"/>
    </row>
    <row r="682" spans="1:8" x14ac:dyDescent="0.2">
      <c r="A682" s="210">
        <v>1712400530</v>
      </c>
      <c r="B682" s="210" t="s">
        <v>1519</v>
      </c>
      <c r="C682" s="219">
        <v>104411</v>
      </c>
      <c r="D682" s="211">
        <v>104000</v>
      </c>
      <c r="E682" s="211">
        <v>74630.55</v>
      </c>
      <c r="F682" s="211">
        <v>102966.19</v>
      </c>
      <c r="G682" s="211">
        <v>9289.56</v>
      </c>
    </row>
    <row r="683" spans="1:8" x14ac:dyDescent="0.2">
      <c r="A683" s="210">
        <v>1712409530</v>
      </c>
      <c r="B683" s="210" t="s">
        <v>1606</v>
      </c>
      <c r="C683" s="219">
        <v>47503</v>
      </c>
      <c r="D683" s="211">
        <v>44000</v>
      </c>
      <c r="E683" s="211">
        <v>32159.55</v>
      </c>
      <c r="F683" s="211">
        <v>39765.199999999997</v>
      </c>
      <c r="G683" s="211">
        <v>40344.17</v>
      </c>
    </row>
    <row r="684" spans="1:8" x14ac:dyDescent="0.2">
      <c r="A684" s="210">
        <v>1712409731</v>
      </c>
      <c r="B684" s="210" t="s">
        <v>1518</v>
      </c>
      <c r="C684" s="219"/>
      <c r="E684" s="211">
        <v>685.84</v>
      </c>
      <c r="F684" s="211">
        <v>2469.62</v>
      </c>
      <c r="G684" s="211">
        <v>4377.2700000000004</v>
      </c>
      <c r="H684" s="211">
        <v>48049.61</v>
      </c>
    </row>
    <row r="685" spans="1:8" x14ac:dyDescent="0.2">
      <c r="A685" s="210">
        <v>1712500110</v>
      </c>
      <c r="B685" s="210" t="s">
        <v>76</v>
      </c>
      <c r="C685" s="219"/>
      <c r="F685" s="211">
        <v>1.47</v>
      </c>
      <c r="G685" s="211">
        <v>32819.93</v>
      </c>
    </row>
    <row r="686" spans="1:8" x14ac:dyDescent="0.2">
      <c r="A686" s="210">
        <v>1712500731</v>
      </c>
      <c r="B686" s="210" t="s">
        <v>113</v>
      </c>
      <c r="C686" s="219"/>
      <c r="G686" s="211">
        <v>549.97</v>
      </c>
      <c r="H686" s="211">
        <v>25519.35</v>
      </c>
    </row>
    <row r="687" spans="1:8" x14ac:dyDescent="0.2">
      <c r="A687" s="210">
        <v>1712500750</v>
      </c>
      <c r="B687" s="210" t="s">
        <v>682</v>
      </c>
      <c r="C687" s="220">
        <f>67200*12+149000*12+8000*12+25000</f>
        <v>2715400</v>
      </c>
      <c r="D687" s="211">
        <v>2415960</v>
      </c>
      <c r="E687" s="211">
        <v>1753615.75</v>
      </c>
      <c r="F687" s="211">
        <v>2261833</v>
      </c>
      <c r="G687" s="211">
        <v>2088996</v>
      </c>
      <c r="H687" s="211">
        <v>1950000</v>
      </c>
    </row>
    <row r="688" spans="1:8" x14ac:dyDescent="0.2">
      <c r="A688" s="210">
        <v>1712500751</v>
      </c>
      <c r="B688" s="210" t="s">
        <v>683</v>
      </c>
      <c r="C688" s="219">
        <v>760000</v>
      </c>
      <c r="D688" s="211">
        <v>760000</v>
      </c>
      <c r="E688" s="211">
        <v>456064.65</v>
      </c>
      <c r="F688" s="211">
        <v>835420.69</v>
      </c>
      <c r="G688" s="211">
        <v>695534.4</v>
      </c>
      <c r="H688" s="211">
        <v>733625.64</v>
      </c>
    </row>
    <row r="689" spans="1:8" x14ac:dyDescent="0.2">
      <c r="A689" s="210">
        <v>1712500752</v>
      </c>
      <c r="B689" s="210" t="s">
        <v>51</v>
      </c>
      <c r="C689" s="219"/>
      <c r="G689" s="211">
        <v>50620.04</v>
      </c>
    </row>
    <row r="690" spans="1:8" x14ac:dyDescent="0.2">
      <c r="A690" s="210">
        <v>1712501731</v>
      </c>
      <c r="B690" s="210" t="s">
        <v>684</v>
      </c>
      <c r="C690" s="219">
        <v>15853</v>
      </c>
      <c r="D690" s="211">
        <v>16000</v>
      </c>
      <c r="E690" s="211">
        <v>992</v>
      </c>
      <c r="F690" s="211">
        <v>16845.89</v>
      </c>
      <c r="G690" s="211">
        <v>33711.78</v>
      </c>
      <c r="H690" s="211">
        <v>11904.07</v>
      </c>
    </row>
    <row r="691" spans="1:8" x14ac:dyDescent="0.2">
      <c r="A691" s="210">
        <v>1712503731</v>
      </c>
      <c r="B691" s="210" t="s">
        <v>771</v>
      </c>
      <c r="C691" s="219">
        <v>14173</v>
      </c>
      <c r="D691" s="211">
        <v>10000</v>
      </c>
      <c r="E691" s="211">
        <v>10869.97</v>
      </c>
    </row>
    <row r="692" spans="1:8" x14ac:dyDescent="0.2">
      <c r="A692" s="210">
        <v>1712509530</v>
      </c>
      <c r="B692" s="210" t="s">
        <v>1607</v>
      </c>
      <c r="C692" s="219"/>
    </row>
    <row r="693" spans="1:8" x14ac:dyDescent="0.2">
      <c r="A693" s="210">
        <v>1712600731</v>
      </c>
      <c r="B693" s="210" t="s">
        <v>1222</v>
      </c>
      <c r="C693" s="219">
        <v>15311</v>
      </c>
      <c r="D693" s="211">
        <v>17000</v>
      </c>
      <c r="E693" s="211">
        <v>6665.73</v>
      </c>
      <c r="F693" s="211">
        <v>15836.9</v>
      </c>
      <c r="G693" s="211">
        <v>16096.06</v>
      </c>
    </row>
    <row r="694" spans="1:8" x14ac:dyDescent="0.2">
      <c r="A694" s="210">
        <v>1712700731</v>
      </c>
      <c r="B694" s="210" t="s">
        <v>1608</v>
      </c>
      <c r="C694" s="219"/>
    </row>
    <row r="695" spans="1:8" x14ac:dyDescent="0.2">
      <c r="A695" s="210">
        <v>1712800731</v>
      </c>
      <c r="B695" s="210" t="s">
        <v>114</v>
      </c>
      <c r="C695" s="219">
        <v>16751</v>
      </c>
      <c r="D695" s="211">
        <v>15000</v>
      </c>
      <c r="E695" s="211">
        <v>5092.32</v>
      </c>
      <c r="F695" s="211">
        <v>15283</v>
      </c>
      <c r="G695" s="211">
        <v>17309.79</v>
      </c>
      <c r="H695" s="211">
        <v>30106.41</v>
      </c>
    </row>
    <row r="696" spans="1:8" x14ac:dyDescent="0.2">
      <c r="A696" s="210">
        <v>1713000441</v>
      </c>
      <c r="B696" s="210" t="s">
        <v>49</v>
      </c>
      <c r="C696" s="219"/>
    </row>
    <row r="697" spans="1:8" x14ac:dyDescent="0.2">
      <c r="A697" s="210">
        <v>1713000731</v>
      </c>
      <c r="B697" s="210" t="s">
        <v>686</v>
      </c>
      <c r="C697" s="219">
        <v>25894</v>
      </c>
      <c r="D697" s="211">
        <v>25000</v>
      </c>
      <c r="E697" s="211">
        <v>19698.689999999999</v>
      </c>
      <c r="F697" s="211">
        <v>31178.52</v>
      </c>
      <c r="G697" s="211">
        <v>30745.360000000001</v>
      </c>
      <c r="H697" s="211">
        <v>28844.28</v>
      </c>
    </row>
    <row r="698" spans="1:8" x14ac:dyDescent="0.2">
      <c r="A698" s="210">
        <v>1713001731</v>
      </c>
      <c r="B698" s="210" t="s">
        <v>1450</v>
      </c>
      <c r="C698" s="219">
        <v>0</v>
      </c>
      <c r="D698" s="211">
        <v>10000</v>
      </c>
      <c r="E698" s="211">
        <v>1164.73</v>
      </c>
      <c r="F698" s="211">
        <v>13866.28</v>
      </c>
      <c r="G698" s="211">
        <v>14832.3</v>
      </c>
    </row>
    <row r="699" spans="1:8" x14ac:dyDescent="0.2">
      <c r="A699" s="210">
        <v>1713002731</v>
      </c>
      <c r="B699" s="210" t="s">
        <v>1451</v>
      </c>
      <c r="C699" s="219">
        <v>5556</v>
      </c>
      <c r="D699" s="211">
        <v>3000</v>
      </c>
      <c r="E699" s="211">
        <v>1348</v>
      </c>
      <c r="F699" s="211">
        <v>3253</v>
      </c>
      <c r="G699" s="211">
        <v>2553</v>
      </c>
    </row>
    <row r="700" spans="1:8" x14ac:dyDescent="0.2">
      <c r="A700" s="210">
        <v>1713200110</v>
      </c>
      <c r="B700" s="210" t="s">
        <v>523</v>
      </c>
      <c r="C700" s="219">
        <v>1353705</v>
      </c>
      <c r="D700" s="211">
        <v>992501</v>
      </c>
      <c r="E700" s="211">
        <v>756481.76</v>
      </c>
      <c r="F700" s="211">
        <v>1070231.8</v>
      </c>
      <c r="G700" s="211">
        <v>960120</v>
      </c>
      <c r="H700" s="211">
        <v>808651.58</v>
      </c>
    </row>
    <row r="701" spans="1:8" x14ac:dyDescent="0.2">
      <c r="A701" s="210">
        <v>1714000110</v>
      </c>
      <c r="B701" s="210" t="s">
        <v>524</v>
      </c>
      <c r="C701" s="219">
        <f>856793+3400</f>
        <v>860193</v>
      </c>
      <c r="D701" s="211">
        <v>876792</v>
      </c>
      <c r="E701" s="211">
        <v>670714.31000000006</v>
      </c>
      <c r="F701" s="211">
        <v>835458.97</v>
      </c>
      <c r="G701" s="211">
        <v>814514.69</v>
      </c>
      <c r="H701" s="211">
        <v>746815.83</v>
      </c>
    </row>
    <row r="702" spans="1:8" x14ac:dyDescent="0.2">
      <c r="A702" s="210">
        <v>1714000210</v>
      </c>
      <c r="B702" s="210" t="s">
        <v>524</v>
      </c>
      <c r="C702" s="219">
        <v>0</v>
      </c>
      <c r="D702" s="211">
        <v>4858</v>
      </c>
      <c r="E702" s="211">
        <v>13839.04</v>
      </c>
      <c r="F702" s="211">
        <v>4790.42</v>
      </c>
      <c r="G702" s="211">
        <v>3757</v>
      </c>
      <c r="H702" s="211">
        <v>2097.34</v>
      </c>
    </row>
    <row r="703" spans="1:8" x14ac:dyDescent="0.2">
      <c r="A703" s="210">
        <v>1714200560</v>
      </c>
      <c r="B703" s="210" t="s">
        <v>687</v>
      </c>
      <c r="C703" s="219">
        <f>500+60*12+60*12-120*12</f>
        <v>500</v>
      </c>
      <c r="D703" s="211">
        <v>500</v>
      </c>
      <c r="E703" s="211">
        <v>473.81</v>
      </c>
      <c r="F703" s="211">
        <v>387.07</v>
      </c>
      <c r="G703" s="211">
        <v>543.54</v>
      </c>
    </row>
    <row r="704" spans="1:8" x14ac:dyDescent="0.2">
      <c r="A704" s="210">
        <v>1714200570</v>
      </c>
      <c r="B704" s="210" t="s">
        <v>258</v>
      </c>
      <c r="C704" s="219">
        <f>144*12</f>
        <v>1728</v>
      </c>
    </row>
    <row r="705" spans="1:8" x14ac:dyDescent="0.2">
      <c r="A705" s="210">
        <v>1714200580</v>
      </c>
      <c r="B705" s="210" t="s">
        <v>688</v>
      </c>
      <c r="C705" s="219">
        <f>23000+277000</f>
        <v>300000</v>
      </c>
      <c r="D705" s="211">
        <v>480000</v>
      </c>
      <c r="E705" s="211">
        <v>293055</v>
      </c>
      <c r="F705" s="211">
        <v>298960</v>
      </c>
      <c r="G705" s="211">
        <v>298960</v>
      </c>
      <c r="H705" s="211">
        <v>551520</v>
      </c>
    </row>
    <row r="706" spans="1:8" x14ac:dyDescent="0.2">
      <c r="A706" s="210">
        <v>1714200581</v>
      </c>
      <c r="B706" s="276" t="s">
        <v>1679</v>
      </c>
      <c r="C706" s="219">
        <f>120*12</f>
        <v>1440</v>
      </c>
    </row>
    <row r="707" spans="1:8" x14ac:dyDescent="0.2">
      <c r="A707" s="210">
        <v>1714200720</v>
      </c>
      <c r="B707" s="210" t="s">
        <v>689</v>
      </c>
      <c r="C707" s="219">
        <f>38000+18900+3298-18900</f>
        <v>41298</v>
      </c>
      <c r="D707" s="211">
        <v>40000</v>
      </c>
      <c r="E707" s="211">
        <v>29514.17</v>
      </c>
      <c r="F707" s="211">
        <v>37339.46</v>
      </c>
      <c r="G707" s="211">
        <v>31795.34</v>
      </c>
      <c r="H707" s="211">
        <v>46271.35</v>
      </c>
    </row>
    <row r="708" spans="1:8" x14ac:dyDescent="0.2">
      <c r="A708" s="210">
        <v>1714200731</v>
      </c>
      <c r="B708" s="210" t="s">
        <v>1517</v>
      </c>
      <c r="C708" s="219">
        <v>26920</v>
      </c>
      <c r="D708" s="211">
        <v>30000</v>
      </c>
      <c r="E708" s="211">
        <v>14984.23</v>
      </c>
      <c r="F708" s="211">
        <v>28466.54</v>
      </c>
      <c r="G708" s="211">
        <v>41237.65</v>
      </c>
      <c r="H708" s="211">
        <v>36526.28</v>
      </c>
    </row>
    <row r="709" spans="1:8" x14ac:dyDescent="0.2">
      <c r="A709" s="210">
        <v>1714200742</v>
      </c>
      <c r="B709" s="210" t="s">
        <v>1231</v>
      </c>
      <c r="C709" s="219"/>
    </row>
    <row r="710" spans="1:8" x14ac:dyDescent="0.2">
      <c r="A710" s="210">
        <v>1714200760</v>
      </c>
      <c r="B710" s="276" t="s">
        <v>1680</v>
      </c>
      <c r="C710" s="219">
        <v>18900</v>
      </c>
    </row>
    <row r="711" spans="1:8" x14ac:dyDescent="0.2">
      <c r="A711" s="210">
        <v>1714200781</v>
      </c>
      <c r="B711" s="210" t="s">
        <v>691</v>
      </c>
      <c r="C711" s="219">
        <v>0</v>
      </c>
      <c r="D711" s="211">
        <v>3861</v>
      </c>
      <c r="F711" s="211">
        <v>3540</v>
      </c>
    </row>
    <row r="712" spans="1:8" x14ac:dyDescent="0.2">
      <c r="A712" s="210">
        <v>1714300731</v>
      </c>
      <c r="B712" s="210" t="s">
        <v>692</v>
      </c>
      <c r="C712" s="219">
        <v>1647</v>
      </c>
      <c r="D712" s="211">
        <v>1200</v>
      </c>
      <c r="E712" s="211">
        <v>702</v>
      </c>
      <c r="F712" s="211">
        <v>1370</v>
      </c>
      <c r="G712" s="211">
        <v>1368</v>
      </c>
      <c r="H712" s="211">
        <v>1144</v>
      </c>
    </row>
    <row r="713" spans="1:8" x14ac:dyDescent="0.2">
      <c r="A713" s="210">
        <v>1714300750</v>
      </c>
      <c r="B713" s="210" t="s">
        <v>693</v>
      </c>
      <c r="C713" s="219"/>
      <c r="F713" s="211">
        <v>23000</v>
      </c>
      <c r="G713" s="211">
        <v>138681</v>
      </c>
      <c r="H713" s="211">
        <v>125629</v>
      </c>
    </row>
    <row r="714" spans="1:8" x14ac:dyDescent="0.2">
      <c r="A714" s="210">
        <v>1714300830</v>
      </c>
      <c r="B714" s="210" t="s">
        <v>694</v>
      </c>
      <c r="C714" s="219">
        <v>53000</v>
      </c>
      <c r="D714" s="211">
        <v>52446</v>
      </c>
      <c r="E714" s="211">
        <v>52446</v>
      </c>
      <c r="F714" s="211">
        <v>54331</v>
      </c>
      <c r="G714" s="211">
        <v>49345</v>
      </c>
      <c r="H714" s="211">
        <v>46945</v>
      </c>
    </row>
    <row r="715" spans="1:8" x14ac:dyDescent="0.2">
      <c r="A715" s="210">
        <v>1715200110</v>
      </c>
      <c r="B715" s="210" t="s">
        <v>523</v>
      </c>
      <c r="C715" s="219">
        <v>148487</v>
      </c>
      <c r="D715" s="211">
        <v>144055</v>
      </c>
      <c r="E715" s="211">
        <v>111705.86</v>
      </c>
      <c r="F715" s="211">
        <v>141837.99</v>
      </c>
      <c r="G715" s="211">
        <v>271378.63</v>
      </c>
      <c r="H715" s="211">
        <v>273575.69</v>
      </c>
    </row>
    <row r="716" spans="1:8" x14ac:dyDescent="0.2">
      <c r="A716" s="210">
        <v>1715200720</v>
      </c>
      <c r="B716" s="210" t="s">
        <v>689</v>
      </c>
      <c r="C716" s="219">
        <v>44000</v>
      </c>
      <c r="D716" s="211">
        <v>43024</v>
      </c>
      <c r="E716" s="211">
        <v>38428.07</v>
      </c>
      <c r="F716" s="211">
        <v>27967.21</v>
      </c>
      <c r="G716" s="211">
        <v>3264.04</v>
      </c>
      <c r="H716" s="211">
        <v>111446.78</v>
      </c>
    </row>
    <row r="717" spans="1:8" x14ac:dyDescent="0.2">
      <c r="A717" s="210">
        <v>1715300750</v>
      </c>
      <c r="B717" s="210" t="s">
        <v>695</v>
      </c>
      <c r="C717" s="219">
        <v>54756</v>
      </c>
      <c r="D717" s="211">
        <v>54756</v>
      </c>
      <c r="E717" s="211">
        <v>36504</v>
      </c>
      <c r="F717" s="211">
        <v>55107</v>
      </c>
      <c r="G717" s="211">
        <v>37309.980000000003</v>
      </c>
      <c r="H717" s="211">
        <v>40062.639999999999</v>
      </c>
    </row>
    <row r="718" spans="1:8" x14ac:dyDescent="0.2">
      <c r="A718" s="210">
        <v>1720000399</v>
      </c>
      <c r="B718" s="210" t="s">
        <v>24</v>
      </c>
      <c r="C718" s="219"/>
    </row>
    <row r="719" spans="1:8" x14ac:dyDescent="0.2">
      <c r="A719" s="210">
        <v>1720000981</v>
      </c>
      <c r="B719" s="210" t="s">
        <v>74</v>
      </c>
      <c r="C719" s="219"/>
      <c r="G719" s="211">
        <v>350</v>
      </c>
    </row>
    <row r="720" spans="1:8" x14ac:dyDescent="0.2">
      <c r="A720" s="210">
        <v>1721000110</v>
      </c>
      <c r="B720" s="210" t="s">
        <v>525</v>
      </c>
      <c r="C720" s="219">
        <f>309309</f>
        <v>309309</v>
      </c>
      <c r="D720" s="211">
        <v>535401</v>
      </c>
      <c r="E720" s="211">
        <v>435465.78</v>
      </c>
      <c r="F720" s="211">
        <v>422305.05</v>
      </c>
      <c r="G720" s="211">
        <v>384429.84</v>
      </c>
      <c r="H720" s="211">
        <v>358257.83</v>
      </c>
    </row>
    <row r="721" spans="1:8" x14ac:dyDescent="0.2">
      <c r="A721" s="210">
        <v>1722000110</v>
      </c>
      <c r="B721" s="210" t="s">
        <v>523</v>
      </c>
      <c r="C721" s="219">
        <v>114237</v>
      </c>
      <c r="D721" s="211">
        <v>106725</v>
      </c>
      <c r="E721" s="211">
        <v>86173.45</v>
      </c>
      <c r="F721" s="211">
        <v>279608.75</v>
      </c>
      <c r="G721" s="211">
        <v>208658.76</v>
      </c>
      <c r="H721" s="211">
        <v>56359.42</v>
      </c>
    </row>
    <row r="722" spans="1:8" x14ac:dyDescent="0.2">
      <c r="A722" s="210">
        <v>1722000210</v>
      </c>
      <c r="B722" s="210" t="s">
        <v>526</v>
      </c>
      <c r="C722" s="219">
        <v>2491797</v>
      </c>
      <c r="D722" s="211">
        <v>2005740</v>
      </c>
      <c r="E722" s="211">
        <v>1340907.3600000001</v>
      </c>
      <c r="F722" s="211">
        <v>1085373.56</v>
      </c>
      <c r="G722" s="211">
        <v>548059.34</v>
      </c>
      <c r="H722" s="211">
        <v>424641.26</v>
      </c>
    </row>
    <row r="723" spans="1:8" x14ac:dyDescent="0.2">
      <c r="A723" s="210">
        <v>1722000430</v>
      </c>
      <c r="B723" s="210" t="s">
        <v>696</v>
      </c>
      <c r="C723" s="219">
        <v>38000</v>
      </c>
      <c r="D723" s="211">
        <v>38000</v>
      </c>
      <c r="E723" s="211">
        <v>24900.22</v>
      </c>
      <c r="F723" s="211">
        <v>42137.84</v>
      </c>
      <c r="G723" s="211">
        <v>53699.44</v>
      </c>
      <c r="H723" s="211">
        <v>37127</v>
      </c>
    </row>
    <row r="724" spans="1:8" x14ac:dyDescent="0.2">
      <c r="A724" s="210">
        <v>1722000511</v>
      </c>
      <c r="B724" s="210" t="s">
        <v>697</v>
      </c>
      <c r="C724" s="219">
        <v>5000</v>
      </c>
      <c r="D724" s="211">
        <v>5000</v>
      </c>
      <c r="E724" s="211">
        <v>5000</v>
      </c>
      <c r="F724" s="211">
        <v>5087.45</v>
      </c>
      <c r="G724" s="211">
        <v>4900</v>
      </c>
      <c r="H724" s="211">
        <v>4459.03</v>
      </c>
    </row>
    <row r="725" spans="1:8" x14ac:dyDescent="0.2">
      <c r="A725" s="210">
        <v>1722000530</v>
      </c>
      <c r="B725" s="210" t="s">
        <v>700</v>
      </c>
      <c r="C725" s="219">
        <v>0</v>
      </c>
      <c r="D725" s="211">
        <v>35000</v>
      </c>
      <c r="F725" s="211">
        <v>6506.9</v>
      </c>
      <c r="G725" s="211">
        <v>60486.14</v>
      </c>
    </row>
    <row r="726" spans="1:8" x14ac:dyDescent="0.2">
      <c r="A726" s="210">
        <v>1722000540</v>
      </c>
      <c r="B726" s="210" t="s">
        <v>698</v>
      </c>
      <c r="C726" s="219">
        <f>5500*12+150*12+100*12+315*12+3500</f>
        <v>76280</v>
      </c>
      <c r="D726" s="211">
        <v>197000</v>
      </c>
      <c r="E726" s="211">
        <v>13598.43</v>
      </c>
      <c r="F726" s="211">
        <v>95994.48</v>
      </c>
      <c r="G726" s="211">
        <v>92386.74</v>
      </c>
      <c r="H726" s="211">
        <v>140289.42000000001</v>
      </c>
    </row>
    <row r="727" spans="1:8" x14ac:dyDescent="0.2">
      <c r="A727" s="210">
        <v>1722000550</v>
      </c>
      <c r="B727" s="210" t="s">
        <v>699</v>
      </c>
      <c r="C727" s="219">
        <f>4500+4000</f>
        <v>8500</v>
      </c>
      <c r="D727" s="211">
        <v>4500</v>
      </c>
      <c r="F727" s="211">
        <v>9000</v>
      </c>
      <c r="G727" s="211">
        <v>8502.64</v>
      </c>
      <c r="H727" s="211">
        <v>8000</v>
      </c>
    </row>
    <row r="728" spans="1:8" x14ac:dyDescent="0.2">
      <c r="A728" s="210">
        <v>1722000581</v>
      </c>
      <c r="B728" s="276" t="s">
        <v>1681</v>
      </c>
      <c r="C728" s="219">
        <f>55*12</f>
        <v>660</v>
      </c>
    </row>
    <row r="729" spans="1:8" x14ac:dyDescent="0.2">
      <c r="A729" s="210">
        <v>1722000731</v>
      </c>
      <c r="B729" s="210" t="s">
        <v>1516</v>
      </c>
      <c r="C729" s="219"/>
      <c r="G729" s="211">
        <v>499.92</v>
      </c>
      <c r="H729" s="211">
        <v>63204.23</v>
      </c>
    </row>
    <row r="730" spans="1:8" x14ac:dyDescent="0.2">
      <c r="A730" s="210">
        <v>1722000732</v>
      </c>
      <c r="B730" s="210" t="s">
        <v>133</v>
      </c>
      <c r="C730" s="219"/>
    </row>
    <row r="731" spans="1:8" x14ac:dyDescent="0.2">
      <c r="A731" s="210">
        <v>1722000733</v>
      </c>
      <c r="B731" s="210" t="s">
        <v>133</v>
      </c>
      <c r="C731" s="219"/>
    </row>
    <row r="732" spans="1:8" x14ac:dyDescent="0.2">
      <c r="A732" s="210">
        <v>1722000750</v>
      </c>
      <c r="B732" s="210" t="s">
        <v>701</v>
      </c>
      <c r="C732" s="219">
        <v>200000</v>
      </c>
      <c r="D732" s="211">
        <v>1312072</v>
      </c>
      <c r="E732" s="211">
        <v>1241236.31</v>
      </c>
      <c r="F732" s="211">
        <v>811754.1</v>
      </c>
      <c r="G732" s="211">
        <v>191473.3</v>
      </c>
      <c r="H732" s="211">
        <v>149855.72</v>
      </c>
    </row>
    <row r="733" spans="1:8" x14ac:dyDescent="0.2">
      <c r="A733" s="210">
        <v>1722000751</v>
      </c>
      <c r="B733" s="210" t="s">
        <v>702</v>
      </c>
      <c r="C733" s="219">
        <v>80000</v>
      </c>
      <c r="D733" s="211">
        <v>58300</v>
      </c>
      <c r="E733" s="211">
        <v>38826</v>
      </c>
      <c r="F733" s="211">
        <v>59375.4</v>
      </c>
      <c r="G733" s="211">
        <v>54896.5</v>
      </c>
      <c r="H733" s="211">
        <v>36988</v>
      </c>
    </row>
    <row r="734" spans="1:8" x14ac:dyDescent="0.2">
      <c r="A734" s="210">
        <v>1722000752</v>
      </c>
      <c r="B734" s="210" t="s">
        <v>703</v>
      </c>
      <c r="C734" s="219"/>
      <c r="H734" s="211">
        <v>87509</v>
      </c>
    </row>
    <row r="735" spans="1:8" x14ac:dyDescent="0.2">
      <c r="A735" s="210">
        <v>1722000753</v>
      </c>
      <c r="B735" s="210" t="s">
        <v>1515</v>
      </c>
      <c r="C735" s="219">
        <v>240000</v>
      </c>
      <c r="D735" s="211">
        <v>178480</v>
      </c>
      <c r="E735" s="211">
        <v>165172</v>
      </c>
      <c r="F735" s="211">
        <v>80920</v>
      </c>
    </row>
    <row r="736" spans="1:8" x14ac:dyDescent="0.2">
      <c r="A736" s="210">
        <v>1722000754</v>
      </c>
      <c r="B736" s="210" t="s">
        <v>1609</v>
      </c>
      <c r="C736" s="219">
        <v>472000</v>
      </c>
      <c r="D736" s="211">
        <v>78670</v>
      </c>
      <c r="E736" s="211">
        <v>77999</v>
      </c>
    </row>
    <row r="737" spans="1:8" x14ac:dyDescent="0.2">
      <c r="A737" s="210">
        <v>1722000755</v>
      </c>
      <c r="B737" s="217" t="s">
        <v>1642</v>
      </c>
      <c r="C737" s="219">
        <f>174000*23/25+174000*24.5/25</f>
        <v>330600</v>
      </c>
    </row>
    <row r="738" spans="1:8" x14ac:dyDescent="0.2">
      <c r="A738" s="210">
        <v>1722000810</v>
      </c>
      <c r="B738" s="210" t="s">
        <v>704</v>
      </c>
      <c r="C738" s="219"/>
    </row>
    <row r="739" spans="1:8" x14ac:dyDescent="0.2">
      <c r="A739" s="210">
        <v>1722000811</v>
      </c>
      <c r="B739" s="210" t="s">
        <v>134</v>
      </c>
      <c r="C739" s="219"/>
    </row>
    <row r="740" spans="1:8" x14ac:dyDescent="0.2">
      <c r="A740" s="210">
        <v>1722000910</v>
      </c>
      <c r="B740" s="210" t="s">
        <v>704</v>
      </c>
      <c r="C740" s="219">
        <v>0</v>
      </c>
      <c r="D740" s="211">
        <v>42000</v>
      </c>
      <c r="F740" s="211">
        <v>66406</v>
      </c>
      <c r="G740" s="211">
        <v>41257</v>
      </c>
    </row>
    <row r="741" spans="1:8" x14ac:dyDescent="0.2">
      <c r="A741" s="210">
        <v>1722000930</v>
      </c>
      <c r="B741" s="210" t="s">
        <v>705</v>
      </c>
      <c r="C741" s="219">
        <v>0</v>
      </c>
      <c r="D741" s="211">
        <v>4000</v>
      </c>
      <c r="F741" s="211">
        <v>8000</v>
      </c>
      <c r="G741" s="211">
        <v>9500</v>
      </c>
      <c r="H741" s="211">
        <v>448.8</v>
      </c>
    </row>
    <row r="742" spans="1:8" x14ac:dyDescent="0.2">
      <c r="A742" s="210">
        <v>1722000980</v>
      </c>
      <c r="B742" s="210" t="s">
        <v>580</v>
      </c>
      <c r="C742" s="219">
        <f>5500-55*12</f>
        <v>4840</v>
      </c>
      <c r="D742" s="211">
        <v>6000</v>
      </c>
      <c r="E742" s="211">
        <v>4473.9799999999996</v>
      </c>
      <c r="F742" s="211">
        <v>6674.62</v>
      </c>
      <c r="G742" s="211">
        <v>5337.39</v>
      </c>
      <c r="H742" s="211">
        <v>6513.76</v>
      </c>
    </row>
    <row r="743" spans="1:8" x14ac:dyDescent="0.2">
      <c r="A743" s="210">
        <v>1722001731</v>
      </c>
      <c r="B743" s="210" t="s">
        <v>115</v>
      </c>
      <c r="C743" s="219">
        <v>19301</v>
      </c>
      <c r="D743" s="211">
        <v>14000</v>
      </c>
      <c r="E743" s="211">
        <v>4581.3500000000004</v>
      </c>
      <c r="F743" s="211">
        <v>21622.9</v>
      </c>
      <c r="G743" s="211">
        <v>24270.240000000002</v>
      </c>
      <c r="H743" s="211">
        <v>38514.370000000003</v>
      </c>
    </row>
    <row r="744" spans="1:8" x14ac:dyDescent="0.2">
      <c r="A744" s="210">
        <v>1722002530</v>
      </c>
      <c r="B744" s="210" t="s">
        <v>1456</v>
      </c>
      <c r="C744" s="219">
        <v>154585</v>
      </c>
      <c r="E744" s="211">
        <v>48803.28</v>
      </c>
      <c r="F744" s="211">
        <v>113409.68</v>
      </c>
      <c r="G744" s="211">
        <v>120517.34</v>
      </c>
    </row>
    <row r="745" spans="1:8" x14ac:dyDescent="0.2">
      <c r="A745" s="210">
        <v>1722002731</v>
      </c>
      <c r="B745" s="210" t="s">
        <v>1514</v>
      </c>
      <c r="C745" s="219"/>
      <c r="F745" s="211">
        <v>5584.37</v>
      </c>
      <c r="G745" s="211">
        <v>19603.86</v>
      </c>
      <c r="H745" s="211">
        <v>107903.63</v>
      </c>
    </row>
    <row r="746" spans="1:8" x14ac:dyDescent="0.2">
      <c r="A746" s="210">
        <v>1722003530</v>
      </c>
      <c r="B746" s="210" t="s">
        <v>1457</v>
      </c>
      <c r="C746" s="219">
        <v>132701</v>
      </c>
      <c r="D746" s="211">
        <v>110000</v>
      </c>
      <c r="E746" s="211">
        <v>71720.03</v>
      </c>
      <c r="F746" s="211">
        <v>103742.74</v>
      </c>
      <c r="G746" s="211">
        <v>129399.53</v>
      </c>
    </row>
    <row r="747" spans="1:8" x14ac:dyDescent="0.2">
      <c r="A747" s="210">
        <v>1722003731</v>
      </c>
      <c r="B747" s="210" t="s">
        <v>1513</v>
      </c>
      <c r="C747" s="219"/>
      <c r="F747" s="211">
        <v>9763.16</v>
      </c>
      <c r="G747" s="211">
        <v>11152.51</v>
      </c>
      <c r="H747" s="211">
        <v>122026.45</v>
      </c>
    </row>
    <row r="748" spans="1:8" x14ac:dyDescent="0.2">
      <c r="A748" s="210">
        <v>1722004731</v>
      </c>
      <c r="B748" s="210" t="s">
        <v>40</v>
      </c>
      <c r="C748" s="219">
        <v>17801</v>
      </c>
      <c r="E748" s="211">
        <v>3816.33</v>
      </c>
      <c r="F748" s="211">
        <v>20134.759999999998</v>
      </c>
      <c r="G748" s="211">
        <v>26350.77</v>
      </c>
      <c r="H748" s="211">
        <v>12628.12</v>
      </c>
    </row>
    <row r="749" spans="1:8" x14ac:dyDescent="0.2">
      <c r="A749" s="210">
        <v>1722005731</v>
      </c>
      <c r="B749" s="210" t="s">
        <v>41</v>
      </c>
      <c r="C749" s="219">
        <v>18431</v>
      </c>
      <c r="D749" s="211">
        <v>20000</v>
      </c>
      <c r="E749" s="211">
        <v>8609.77</v>
      </c>
      <c r="F749" s="211">
        <v>25176.6</v>
      </c>
      <c r="G749" s="211">
        <v>21701.01</v>
      </c>
      <c r="H749" s="211">
        <v>16383.39</v>
      </c>
    </row>
    <row r="750" spans="1:8" x14ac:dyDescent="0.2">
      <c r="A750" s="210">
        <v>1722006731</v>
      </c>
      <c r="B750" s="210" t="s">
        <v>42</v>
      </c>
      <c r="C750" s="219">
        <v>18371</v>
      </c>
      <c r="D750" s="211">
        <v>18000</v>
      </c>
      <c r="E750" s="211">
        <v>7011.47</v>
      </c>
      <c r="F750" s="211">
        <v>19911.72</v>
      </c>
      <c r="G750" s="211">
        <v>17641.14</v>
      </c>
      <c r="H750" s="211">
        <v>6005.22</v>
      </c>
    </row>
    <row r="751" spans="1:8" x14ac:dyDescent="0.2">
      <c r="A751" s="210">
        <v>1722007731</v>
      </c>
      <c r="B751" s="210" t="s">
        <v>1512</v>
      </c>
      <c r="C751" s="219"/>
    </row>
    <row r="752" spans="1:8" x14ac:dyDescent="0.2">
      <c r="A752" s="210">
        <v>1722008731</v>
      </c>
      <c r="B752" s="210" t="s">
        <v>1330</v>
      </c>
      <c r="C752" s="219">
        <v>44670</v>
      </c>
      <c r="D752" s="211">
        <v>35000</v>
      </c>
      <c r="E752" s="211">
        <v>22283.98</v>
      </c>
      <c r="F752" s="211">
        <v>48601.72</v>
      </c>
      <c r="G752" s="211">
        <v>41001.71</v>
      </c>
      <c r="H752" s="211">
        <v>2565.89</v>
      </c>
    </row>
    <row r="753" spans="1:8" x14ac:dyDescent="0.2">
      <c r="A753" s="210">
        <v>1722009731</v>
      </c>
      <c r="B753" s="210" t="s">
        <v>1610</v>
      </c>
      <c r="C753" s="219">
        <v>24939</v>
      </c>
      <c r="D753" s="211">
        <v>15000</v>
      </c>
      <c r="E753" s="211">
        <v>11833.72</v>
      </c>
    </row>
    <row r="754" spans="1:8" x14ac:dyDescent="0.2">
      <c r="A754" s="210">
        <v>1722100530</v>
      </c>
      <c r="B754" s="210" t="s">
        <v>1611</v>
      </c>
      <c r="C754" s="219">
        <v>62844</v>
      </c>
      <c r="D754" s="211">
        <v>52500</v>
      </c>
      <c r="E754" s="211">
        <v>31144.99</v>
      </c>
    </row>
    <row r="755" spans="1:8" x14ac:dyDescent="0.2">
      <c r="A755" s="210">
        <v>1722100750</v>
      </c>
      <c r="B755" s="210" t="s">
        <v>135</v>
      </c>
      <c r="C755" s="219"/>
    </row>
    <row r="756" spans="1:8" x14ac:dyDescent="0.2">
      <c r="A756" s="210">
        <v>1722100780</v>
      </c>
      <c r="B756" s="210" t="s">
        <v>580</v>
      </c>
      <c r="C756" s="219"/>
      <c r="F756" s="211">
        <v>62700</v>
      </c>
      <c r="G756" s="211">
        <v>1830</v>
      </c>
      <c r="H756" s="211">
        <v>2035.92</v>
      </c>
    </row>
    <row r="757" spans="1:8" x14ac:dyDescent="0.2">
      <c r="A757" s="210">
        <v>1723000110</v>
      </c>
      <c r="B757" s="210" t="s">
        <v>527</v>
      </c>
      <c r="C757" s="219">
        <v>418816</v>
      </c>
      <c r="D757" s="211">
        <v>388040</v>
      </c>
      <c r="E757" s="211">
        <v>301620.73</v>
      </c>
      <c r="F757" s="211">
        <v>394087.56</v>
      </c>
      <c r="G757" s="211">
        <v>402832.4</v>
      </c>
      <c r="H757" s="211">
        <v>234107.74</v>
      </c>
    </row>
    <row r="758" spans="1:8" x14ac:dyDescent="0.2">
      <c r="A758" s="210">
        <v>1723000420</v>
      </c>
      <c r="B758" s="210" t="s">
        <v>712</v>
      </c>
      <c r="C758" s="219">
        <f>38640</f>
        <v>38640</v>
      </c>
      <c r="D758" s="211">
        <v>34000</v>
      </c>
      <c r="E758" s="211">
        <v>32705.82</v>
      </c>
      <c r="H758" s="211">
        <v>47459.5</v>
      </c>
    </row>
    <row r="759" spans="1:8" x14ac:dyDescent="0.2">
      <c r="A759" s="210">
        <v>1723000430</v>
      </c>
      <c r="B759" s="210" t="s">
        <v>713</v>
      </c>
      <c r="C759" s="219">
        <f>9497/7*12</f>
        <v>16280.571428571429</v>
      </c>
      <c r="D759" s="211">
        <v>17000</v>
      </c>
      <c r="E759" s="211">
        <v>9497.42</v>
      </c>
      <c r="F759" s="211">
        <v>25867.54</v>
      </c>
      <c r="G759" s="211">
        <v>27297.02</v>
      </c>
      <c r="H759" s="211">
        <v>20734.53</v>
      </c>
    </row>
    <row r="760" spans="1:8" x14ac:dyDescent="0.2">
      <c r="A760" s="210">
        <v>1723000731</v>
      </c>
      <c r="B760" s="210" t="s">
        <v>1332</v>
      </c>
      <c r="C760" s="219">
        <v>16241</v>
      </c>
      <c r="D760" s="211">
        <v>15000</v>
      </c>
      <c r="E760" s="211">
        <v>4857.3999999999996</v>
      </c>
      <c r="F760" s="211">
        <v>17809.349999999999</v>
      </c>
      <c r="G760" s="211">
        <v>13438.99</v>
      </c>
    </row>
    <row r="761" spans="1:8" x14ac:dyDescent="0.2">
      <c r="A761" s="210">
        <v>1723000750</v>
      </c>
      <c r="B761" s="210" t="s">
        <v>714</v>
      </c>
      <c r="C761" s="219"/>
      <c r="F761" s="211">
        <v>4295.55</v>
      </c>
      <c r="G761" s="211">
        <v>4315</v>
      </c>
      <c r="H761" s="211">
        <v>2925</v>
      </c>
    </row>
    <row r="762" spans="1:8" x14ac:dyDescent="0.2">
      <c r="A762" s="210">
        <v>1723000751</v>
      </c>
      <c r="B762" s="210" t="s">
        <v>77</v>
      </c>
      <c r="C762" s="219">
        <v>13000</v>
      </c>
      <c r="D762" s="211">
        <v>90000</v>
      </c>
      <c r="E762" s="211">
        <v>12816.59</v>
      </c>
      <c r="F762" s="211">
        <v>29724.75</v>
      </c>
      <c r="G762" s="211">
        <v>34797.800000000003</v>
      </c>
    </row>
    <row r="763" spans="1:8" x14ac:dyDescent="0.2">
      <c r="A763" s="210">
        <v>1723000810</v>
      </c>
      <c r="B763" s="210" t="s">
        <v>715</v>
      </c>
      <c r="C763" s="219">
        <v>325000</v>
      </c>
      <c r="D763" s="211">
        <v>321379</v>
      </c>
      <c r="F763" s="211">
        <v>309122.93</v>
      </c>
      <c r="G763" s="211">
        <v>319543.52</v>
      </c>
      <c r="H763" s="211">
        <v>304548.90999999997</v>
      </c>
    </row>
    <row r="764" spans="1:8" x14ac:dyDescent="0.2">
      <c r="A764" s="210">
        <v>1723000910</v>
      </c>
      <c r="B764" s="210" t="s">
        <v>716</v>
      </c>
      <c r="C764" s="219"/>
    </row>
    <row r="765" spans="1:8" x14ac:dyDescent="0.2">
      <c r="A765" s="210">
        <v>1723100810</v>
      </c>
      <c r="B765" s="210" t="s">
        <v>717</v>
      </c>
      <c r="C765" s="219"/>
      <c r="G765" s="211">
        <v>7705</v>
      </c>
      <c r="H765" s="211">
        <v>9726</v>
      </c>
    </row>
    <row r="766" spans="1:8" x14ac:dyDescent="0.2">
      <c r="A766" s="210">
        <v>1724000731</v>
      </c>
      <c r="B766" s="210" t="s">
        <v>116</v>
      </c>
      <c r="C766" s="219"/>
    </row>
    <row r="767" spans="1:8" x14ac:dyDescent="0.2">
      <c r="A767" s="210">
        <v>1724000760</v>
      </c>
      <c r="B767" s="210" t="s">
        <v>136</v>
      </c>
      <c r="C767" s="219"/>
    </row>
    <row r="768" spans="1:8" x14ac:dyDescent="0.2">
      <c r="A768" s="210">
        <v>1724000830</v>
      </c>
      <c r="B768" s="210" t="s">
        <v>718</v>
      </c>
      <c r="C768" s="219">
        <v>414336</v>
      </c>
      <c r="D768" s="211">
        <v>414336</v>
      </c>
      <c r="E768" s="211">
        <v>414336</v>
      </c>
      <c r="F768" s="211">
        <v>414336</v>
      </c>
      <c r="G768" s="211">
        <v>552985.92000000004</v>
      </c>
      <c r="H768" s="211">
        <v>876400</v>
      </c>
    </row>
    <row r="769" spans="1:8" x14ac:dyDescent="0.2">
      <c r="A769" s="210">
        <v>1725000910</v>
      </c>
      <c r="B769" s="210" t="s">
        <v>741</v>
      </c>
      <c r="C769" s="219"/>
      <c r="F769" s="211">
        <v>11905.42</v>
      </c>
    </row>
    <row r="770" spans="1:8" x14ac:dyDescent="0.2">
      <c r="A770" s="210">
        <v>1726100110</v>
      </c>
      <c r="B770" s="210" t="s">
        <v>523</v>
      </c>
      <c r="C770" s="219">
        <f>228769+13896</f>
        <v>242665</v>
      </c>
      <c r="D770" s="211">
        <v>215224</v>
      </c>
      <c r="E770" s="211">
        <v>176758.26</v>
      </c>
      <c r="F770" s="211">
        <v>213368.01</v>
      </c>
      <c r="G770" s="211">
        <v>216211.45</v>
      </c>
      <c r="H770" s="211">
        <v>215754.65</v>
      </c>
    </row>
    <row r="771" spans="1:8" x14ac:dyDescent="0.2">
      <c r="A771" s="210">
        <v>1729000910</v>
      </c>
      <c r="B771" s="210" t="s">
        <v>137</v>
      </c>
      <c r="C771" s="219"/>
    </row>
    <row r="772" spans="1:8" x14ac:dyDescent="0.2">
      <c r="A772" s="210">
        <v>1730000399</v>
      </c>
      <c r="B772" s="210" t="s">
        <v>24</v>
      </c>
      <c r="C772" s="219"/>
    </row>
    <row r="773" spans="1:8" x14ac:dyDescent="0.2">
      <c r="A773" s="210">
        <v>1730000981</v>
      </c>
      <c r="B773" s="210" t="s">
        <v>74</v>
      </c>
      <c r="C773" s="219"/>
      <c r="G773" s="211">
        <v>581</v>
      </c>
    </row>
    <row r="774" spans="1:8" x14ac:dyDescent="0.2">
      <c r="A774" s="210">
        <v>1731000110</v>
      </c>
      <c r="B774" s="210" t="s">
        <v>528</v>
      </c>
      <c r="C774" s="219">
        <f>2129547+3822</f>
        <v>2133369</v>
      </c>
      <c r="D774" s="211">
        <v>2051470</v>
      </c>
      <c r="E774" s="211">
        <v>1536134.06</v>
      </c>
      <c r="F774" s="211">
        <v>2153378.39</v>
      </c>
      <c r="G774" s="211">
        <v>2150320.75</v>
      </c>
      <c r="H774" s="211">
        <v>1980891.08</v>
      </c>
    </row>
    <row r="775" spans="1:8" x14ac:dyDescent="0.2">
      <c r="A775" s="210">
        <v>1731000440</v>
      </c>
      <c r="B775" s="210" t="s">
        <v>719</v>
      </c>
      <c r="C775" s="219">
        <v>72900</v>
      </c>
      <c r="D775" s="211">
        <v>72900</v>
      </c>
      <c r="F775" s="211">
        <v>72900</v>
      </c>
      <c r="G775" s="211">
        <v>70200</v>
      </c>
      <c r="H775" s="211">
        <v>70200</v>
      </c>
    </row>
    <row r="776" spans="1:8" x14ac:dyDescent="0.2">
      <c r="A776" s="210">
        <v>1731000450</v>
      </c>
      <c r="B776" s="210" t="s">
        <v>720</v>
      </c>
      <c r="C776" s="219"/>
      <c r="F776" s="211">
        <v>1574.99</v>
      </c>
      <c r="G776" s="211">
        <v>850</v>
      </c>
      <c r="H776" s="211">
        <v>1480</v>
      </c>
    </row>
    <row r="777" spans="1:8" x14ac:dyDescent="0.2">
      <c r="A777" s="210">
        <v>1731000470</v>
      </c>
      <c r="B777" s="210" t="s">
        <v>1234</v>
      </c>
      <c r="C777" s="219"/>
    </row>
    <row r="778" spans="1:8" x14ac:dyDescent="0.2">
      <c r="A778" s="210">
        <v>1731000511</v>
      </c>
      <c r="B778" s="210" t="s">
        <v>721</v>
      </c>
      <c r="C778" s="219">
        <v>3000</v>
      </c>
      <c r="D778" s="211">
        <v>3000</v>
      </c>
      <c r="E778" s="211">
        <v>3000</v>
      </c>
      <c r="F778" s="211">
        <v>3100.01</v>
      </c>
      <c r="G778" s="211">
        <v>3320</v>
      </c>
      <c r="H778" s="211">
        <v>3245.22</v>
      </c>
    </row>
    <row r="779" spans="1:8" x14ac:dyDescent="0.2">
      <c r="A779" s="210">
        <v>1731000512</v>
      </c>
      <c r="B779" s="210" t="s">
        <v>722</v>
      </c>
      <c r="C779" s="219"/>
      <c r="G779" s="211">
        <v>1000</v>
      </c>
      <c r="H779" s="211">
        <v>2408.83</v>
      </c>
    </row>
    <row r="780" spans="1:8" x14ac:dyDescent="0.2">
      <c r="A780" s="210">
        <v>1731000520</v>
      </c>
      <c r="B780" s="210" t="s">
        <v>571</v>
      </c>
      <c r="C780" s="219">
        <v>4316</v>
      </c>
      <c r="D780" s="211">
        <v>2200</v>
      </c>
      <c r="F780" s="211">
        <v>540</v>
      </c>
      <c r="G780" s="211">
        <v>2090</v>
      </c>
      <c r="H780" s="211">
        <v>2218.8000000000002</v>
      </c>
    </row>
    <row r="781" spans="1:8" x14ac:dyDescent="0.2">
      <c r="A781" s="210">
        <v>1731000521</v>
      </c>
      <c r="B781" s="210" t="s">
        <v>646</v>
      </c>
      <c r="C781" s="219">
        <v>20000</v>
      </c>
      <c r="D781" s="211">
        <v>8800</v>
      </c>
      <c r="E781" s="211">
        <v>8485</v>
      </c>
      <c r="F781" s="211">
        <v>8570</v>
      </c>
      <c r="G781" s="211">
        <v>7329</v>
      </c>
      <c r="H781" s="211">
        <v>8835.34</v>
      </c>
    </row>
    <row r="782" spans="1:8" x14ac:dyDescent="0.2">
      <c r="A782" s="210">
        <v>1731000522</v>
      </c>
      <c r="B782" s="210" t="s">
        <v>723</v>
      </c>
      <c r="C782" s="219">
        <v>2500</v>
      </c>
      <c r="D782" s="211">
        <v>2500</v>
      </c>
      <c r="E782" s="211">
        <v>1364</v>
      </c>
      <c r="F782" s="211">
        <v>1575</v>
      </c>
      <c r="G782" s="211">
        <v>2490</v>
      </c>
      <c r="H782" s="211">
        <v>1430.9</v>
      </c>
    </row>
    <row r="783" spans="1:8" x14ac:dyDescent="0.2">
      <c r="A783" s="210">
        <v>1731000523</v>
      </c>
      <c r="B783" s="210" t="s">
        <v>724</v>
      </c>
      <c r="C783" s="219">
        <v>6270</v>
      </c>
      <c r="D783" s="211">
        <v>1600</v>
      </c>
      <c r="E783" s="211">
        <v>1017</v>
      </c>
      <c r="F783" s="211">
        <v>1600</v>
      </c>
      <c r="G783" s="211">
        <v>1600</v>
      </c>
      <c r="H783" s="211">
        <v>969</v>
      </c>
    </row>
    <row r="784" spans="1:8" x14ac:dyDescent="0.2">
      <c r="A784" s="210">
        <v>1731000530</v>
      </c>
      <c r="B784" s="210" t="s">
        <v>138</v>
      </c>
      <c r="C784" s="219">
        <v>84333</v>
      </c>
      <c r="D784" s="211">
        <v>75000</v>
      </c>
      <c r="E784" s="211">
        <v>55115.54</v>
      </c>
      <c r="F784" s="211">
        <v>78809.77</v>
      </c>
      <c r="G784" s="211">
        <v>100155.17</v>
      </c>
      <c r="H784" s="211">
        <v>83082.78</v>
      </c>
    </row>
    <row r="785" spans="1:12" x14ac:dyDescent="0.2">
      <c r="A785" s="210">
        <v>1731000540</v>
      </c>
      <c r="B785" s="210" t="s">
        <v>726</v>
      </c>
      <c r="C785" s="219"/>
      <c r="H785" s="211">
        <v>171</v>
      </c>
    </row>
    <row r="786" spans="1:12" x14ac:dyDescent="0.2">
      <c r="A786" s="210">
        <v>1731000550</v>
      </c>
      <c r="B786" s="210" t="s">
        <v>727</v>
      </c>
      <c r="C786" s="219">
        <v>9000</v>
      </c>
      <c r="D786" s="211">
        <v>5249</v>
      </c>
      <c r="F786" s="211">
        <v>4000</v>
      </c>
      <c r="G786" s="211">
        <v>3460</v>
      </c>
      <c r="H786" s="211">
        <v>5295.45</v>
      </c>
    </row>
    <row r="787" spans="1:12" x14ac:dyDescent="0.2">
      <c r="A787" s="210">
        <v>1731000560</v>
      </c>
      <c r="B787" s="210" t="s">
        <v>728</v>
      </c>
      <c r="C787" s="219">
        <v>10000</v>
      </c>
      <c r="D787" s="211">
        <v>10000</v>
      </c>
      <c r="E787" s="211">
        <v>7150.6</v>
      </c>
      <c r="F787" s="211">
        <v>16729.560000000001</v>
      </c>
      <c r="G787" s="211">
        <v>16143.74</v>
      </c>
      <c r="H787" s="211">
        <v>11936.94</v>
      </c>
    </row>
    <row r="788" spans="1:12" x14ac:dyDescent="0.2">
      <c r="A788" s="210">
        <v>1731000570</v>
      </c>
      <c r="B788" s="210" t="s">
        <v>729</v>
      </c>
      <c r="C788" s="219">
        <f>3636*12+2126*12+2152*12+160*12+4000-2126*12-160*12</f>
        <v>73456</v>
      </c>
      <c r="D788" s="211">
        <v>105100</v>
      </c>
      <c r="E788" s="211">
        <v>60966.91</v>
      </c>
      <c r="F788" s="211">
        <v>112994.81</v>
      </c>
      <c r="G788" s="211">
        <v>113473.21</v>
      </c>
      <c r="H788" s="211">
        <v>66119.66</v>
      </c>
    </row>
    <row r="789" spans="1:12" x14ac:dyDescent="0.2">
      <c r="A789" s="210">
        <v>1731000580</v>
      </c>
      <c r="B789" s="210" t="s">
        <v>1235</v>
      </c>
      <c r="C789" s="219"/>
      <c r="G789" s="211">
        <v>235.79</v>
      </c>
      <c r="H789" s="211">
        <v>491.6</v>
      </c>
    </row>
    <row r="790" spans="1:12" x14ac:dyDescent="0.2">
      <c r="A790" s="210">
        <v>1731000581</v>
      </c>
      <c r="B790" s="276" t="s">
        <v>1682</v>
      </c>
      <c r="C790" s="219">
        <f>2126*12+160*12</f>
        <v>27432</v>
      </c>
    </row>
    <row r="791" spans="1:12" x14ac:dyDescent="0.2">
      <c r="A791" s="210">
        <v>1731000720</v>
      </c>
      <c r="B791" s="210" t="s">
        <v>1236</v>
      </c>
      <c r="C791" s="219"/>
    </row>
    <row r="792" spans="1:12" x14ac:dyDescent="0.2">
      <c r="A792" s="210">
        <v>1731000740</v>
      </c>
      <c r="B792" s="210" t="s">
        <v>1237</v>
      </c>
      <c r="C792" s="219"/>
    </row>
    <row r="793" spans="1:12" x14ac:dyDescent="0.2">
      <c r="A793" s="210">
        <v>1731000750</v>
      </c>
      <c r="B793" s="210" t="s">
        <v>730</v>
      </c>
      <c r="C793" s="219">
        <v>0</v>
      </c>
      <c r="D793" s="211">
        <v>213367</v>
      </c>
      <c r="E793" s="211">
        <v>196897</v>
      </c>
      <c r="F793" s="211">
        <v>24780.57</v>
      </c>
      <c r="G793" s="211">
        <v>-0.49</v>
      </c>
      <c r="H793" s="211">
        <v>39654.800000000003</v>
      </c>
    </row>
    <row r="794" spans="1:12" x14ac:dyDescent="0.2">
      <c r="A794" s="210">
        <v>1731000760</v>
      </c>
      <c r="B794" s="210" t="s">
        <v>552</v>
      </c>
      <c r="C794" s="219"/>
    </row>
    <row r="795" spans="1:12" x14ac:dyDescent="0.2">
      <c r="A795" s="210">
        <v>1731000780</v>
      </c>
      <c r="B795" s="210" t="s">
        <v>731</v>
      </c>
      <c r="C795" s="219">
        <f>115000+15000+15000+15000+50000</f>
        <v>210000</v>
      </c>
      <c r="D795" s="211">
        <v>115000</v>
      </c>
      <c r="E795" s="211">
        <v>82932.539999999994</v>
      </c>
      <c r="F795" s="211">
        <v>123561.25</v>
      </c>
      <c r="G795" s="211">
        <v>134302.1</v>
      </c>
      <c r="H795" s="211">
        <v>178470.58</v>
      </c>
    </row>
    <row r="796" spans="1:12" x14ac:dyDescent="0.2">
      <c r="A796" s="210">
        <v>1731000910</v>
      </c>
      <c r="B796" s="210" t="s">
        <v>716</v>
      </c>
      <c r="C796" s="219"/>
      <c r="D796" s="211">
        <v>45000</v>
      </c>
      <c r="L796" s="218"/>
    </row>
    <row r="797" spans="1:12" x14ac:dyDescent="0.2">
      <c r="A797" s="210">
        <v>1731000930</v>
      </c>
      <c r="B797" s="210" t="s">
        <v>732</v>
      </c>
      <c r="C797" s="219">
        <v>3500</v>
      </c>
      <c r="D797" s="211">
        <v>3500</v>
      </c>
      <c r="E797" s="211">
        <v>2460</v>
      </c>
      <c r="F797" s="211">
        <v>3480</v>
      </c>
      <c r="G797" s="211">
        <v>4975.1000000000004</v>
      </c>
      <c r="H797" s="211">
        <v>3160.52</v>
      </c>
    </row>
    <row r="798" spans="1:12" x14ac:dyDescent="0.2">
      <c r="A798" s="210">
        <v>1731100530</v>
      </c>
      <c r="B798" s="210" t="s">
        <v>1455</v>
      </c>
      <c r="C798" s="219">
        <v>60011</v>
      </c>
      <c r="D798" s="211">
        <v>60000</v>
      </c>
      <c r="E798" s="211">
        <v>41215.06</v>
      </c>
      <c r="F798" s="211">
        <v>57577.9</v>
      </c>
      <c r="G798" s="211">
        <v>67467.399999999994</v>
      </c>
      <c r="H798" s="211">
        <v>80819.929999999993</v>
      </c>
    </row>
    <row r="799" spans="1:12" x14ac:dyDescent="0.2">
      <c r="A799" s="210">
        <v>1731100731</v>
      </c>
      <c r="B799" s="210" t="s">
        <v>117</v>
      </c>
      <c r="C799" s="219"/>
      <c r="H799" s="211">
        <v>2136</v>
      </c>
    </row>
    <row r="800" spans="1:12" x14ac:dyDescent="0.2">
      <c r="A800" s="210">
        <v>1732000110</v>
      </c>
      <c r="B800" s="210" t="s">
        <v>528</v>
      </c>
      <c r="C800" s="219">
        <v>458021</v>
      </c>
      <c r="D800" s="211">
        <v>697024</v>
      </c>
      <c r="E800" s="211">
        <v>385493.95</v>
      </c>
      <c r="F800" s="211">
        <v>720171.72</v>
      </c>
      <c r="G800" s="211">
        <v>482923.93</v>
      </c>
      <c r="H800" s="211">
        <v>242619.69</v>
      </c>
    </row>
    <row r="801" spans="1:8" x14ac:dyDescent="0.2">
      <c r="A801" s="210">
        <v>1732000560</v>
      </c>
      <c r="B801" s="210" t="s">
        <v>728</v>
      </c>
      <c r="C801" s="219">
        <f>2000-35*12</f>
        <v>1580</v>
      </c>
      <c r="D801" s="211">
        <v>2000</v>
      </c>
      <c r="E801" s="211">
        <v>1639.44</v>
      </c>
      <c r="F801" s="211">
        <v>2469.91</v>
      </c>
      <c r="G801" s="211">
        <v>1311.84</v>
      </c>
      <c r="H801" s="211">
        <v>2500.66</v>
      </c>
    </row>
    <row r="802" spans="1:8" x14ac:dyDescent="0.2">
      <c r="A802" s="210">
        <v>1732000581</v>
      </c>
      <c r="B802" s="276" t="s">
        <v>1683</v>
      </c>
      <c r="C802" s="219">
        <f>35*12</f>
        <v>420</v>
      </c>
    </row>
    <row r="803" spans="1:8" x14ac:dyDescent="0.2">
      <c r="A803" s="210">
        <v>1732000750</v>
      </c>
      <c r="B803" s="210" t="s">
        <v>730</v>
      </c>
      <c r="C803" s="219">
        <v>8500</v>
      </c>
      <c r="D803" s="211">
        <v>10000</v>
      </c>
      <c r="E803" s="211">
        <v>3938</v>
      </c>
      <c r="F803" s="211">
        <v>12337.04</v>
      </c>
      <c r="G803" s="211">
        <v>450</v>
      </c>
      <c r="H803" s="211">
        <v>4327</v>
      </c>
    </row>
    <row r="804" spans="1:8" x14ac:dyDescent="0.2">
      <c r="A804" s="210">
        <v>1732000780</v>
      </c>
      <c r="B804" s="210" t="s">
        <v>731</v>
      </c>
      <c r="C804" s="219">
        <v>25000</v>
      </c>
      <c r="D804" s="211">
        <v>25000</v>
      </c>
      <c r="E804" s="211">
        <v>20684</v>
      </c>
      <c r="F804" s="211">
        <v>24860.77</v>
      </c>
      <c r="G804" s="211">
        <v>32270.79</v>
      </c>
      <c r="H804" s="211">
        <v>38771.56</v>
      </c>
    </row>
    <row r="805" spans="1:8" x14ac:dyDescent="0.2">
      <c r="A805" s="210">
        <v>1732000950</v>
      </c>
      <c r="B805" s="210" t="s">
        <v>735</v>
      </c>
      <c r="C805" s="219">
        <v>50000</v>
      </c>
      <c r="F805" s="211">
        <v>4999.45</v>
      </c>
      <c r="G805" s="211">
        <v>5420.09</v>
      </c>
      <c r="H805" s="211">
        <v>10897</v>
      </c>
    </row>
    <row r="806" spans="1:8" x14ac:dyDescent="0.2">
      <c r="A806" s="210">
        <v>1733100110</v>
      </c>
      <c r="B806" s="210" t="s">
        <v>529</v>
      </c>
      <c r="C806" s="219">
        <v>1722456</v>
      </c>
      <c r="D806" s="211">
        <v>1581380</v>
      </c>
      <c r="E806" s="211">
        <v>1275029.8700000001</v>
      </c>
      <c r="F806" s="211">
        <v>1468627.1</v>
      </c>
      <c r="G806" s="211">
        <v>1693186.33</v>
      </c>
      <c r="H806" s="211">
        <v>1440364.15</v>
      </c>
    </row>
    <row r="807" spans="1:8" x14ac:dyDescent="0.2">
      <c r="A807" s="210">
        <v>1733100560</v>
      </c>
      <c r="B807" s="210" t="s">
        <v>728</v>
      </c>
      <c r="C807" s="219">
        <v>2000</v>
      </c>
      <c r="D807" s="211">
        <v>4000</v>
      </c>
      <c r="F807" s="211">
        <v>4499.25</v>
      </c>
      <c r="G807" s="211">
        <v>5088.28</v>
      </c>
      <c r="H807" s="211">
        <v>6008.93</v>
      </c>
    </row>
    <row r="808" spans="1:8" x14ac:dyDescent="0.2">
      <c r="A808" s="210">
        <v>1733100731</v>
      </c>
      <c r="B808" s="210" t="s">
        <v>139</v>
      </c>
      <c r="C808" s="219">
        <v>14621</v>
      </c>
      <c r="D808" s="211">
        <v>16000</v>
      </c>
      <c r="E808" s="211">
        <v>7337.27</v>
      </c>
      <c r="F808" s="211">
        <v>18216.11</v>
      </c>
      <c r="G808" s="211">
        <v>16851.830000000002</v>
      </c>
      <c r="H808" s="211">
        <v>12842.65</v>
      </c>
    </row>
    <row r="809" spans="1:8" x14ac:dyDescent="0.2">
      <c r="A809" s="210">
        <v>1733100750</v>
      </c>
      <c r="B809" s="210" t="s">
        <v>730</v>
      </c>
      <c r="C809" s="219"/>
    </row>
    <row r="810" spans="1:8" x14ac:dyDescent="0.2">
      <c r="A810" s="210">
        <v>1733100780</v>
      </c>
      <c r="B810" s="210" t="s">
        <v>731</v>
      </c>
      <c r="C810" s="219">
        <v>2300</v>
      </c>
      <c r="D810" s="211">
        <v>2300</v>
      </c>
      <c r="E810" s="211">
        <v>2665</v>
      </c>
      <c r="F810" s="211">
        <v>2821.53</v>
      </c>
      <c r="G810" s="211">
        <v>2300</v>
      </c>
      <c r="H810" s="211">
        <v>2779.65</v>
      </c>
    </row>
    <row r="811" spans="1:8" x14ac:dyDescent="0.2">
      <c r="A811" s="210">
        <v>1733100930</v>
      </c>
      <c r="B811" s="210" t="s">
        <v>732</v>
      </c>
      <c r="C811" s="219">
        <v>3000</v>
      </c>
      <c r="D811" s="211">
        <v>3500</v>
      </c>
      <c r="E811" s="211">
        <v>449.2</v>
      </c>
      <c r="F811" s="211">
        <v>4500</v>
      </c>
      <c r="G811" s="211">
        <v>5000</v>
      </c>
      <c r="H811" s="211">
        <v>4530</v>
      </c>
    </row>
    <row r="812" spans="1:8" x14ac:dyDescent="0.2">
      <c r="A812" s="210">
        <v>1733200780</v>
      </c>
      <c r="B812" s="210" t="s">
        <v>580</v>
      </c>
      <c r="C812" s="219">
        <v>4000</v>
      </c>
      <c r="D812" s="211">
        <v>5000</v>
      </c>
      <c r="F812" s="211">
        <v>6246.3</v>
      </c>
      <c r="G812" s="211">
        <v>5998</v>
      </c>
      <c r="H812" s="211">
        <v>12122.6</v>
      </c>
    </row>
    <row r="813" spans="1:8" x14ac:dyDescent="0.2">
      <c r="A813" s="210">
        <v>1740000399</v>
      </c>
      <c r="B813" s="210" t="s">
        <v>24</v>
      </c>
      <c r="C813" s="219"/>
    </row>
    <row r="814" spans="1:8" x14ac:dyDescent="0.2">
      <c r="A814" s="210">
        <v>1741000110</v>
      </c>
      <c r="B814" s="210" t="s">
        <v>140</v>
      </c>
      <c r="C814" s="219"/>
    </row>
    <row r="815" spans="1:8" x14ac:dyDescent="0.2">
      <c r="A815" s="210">
        <v>1741000750</v>
      </c>
      <c r="B815" s="210" t="s">
        <v>736</v>
      </c>
      <c r="C815" s="219"/>
      <c r="F815" s="211">
        <v>40157.370000000003</v>
      </c>
      <c r="G815" s="211">
        <v>-0.23</v>
      </c>
      <c r="H815" s="211">
        <v>29995.200000000001</v>
      </c>
    </row>
    <row r="816" spans="1:8" x14ac:dyDescent="0.2">
      <c r="A816" s="210">
        <v>1741000780</v>
      </c>
      <c r="B816" s="210" t="s">
        <v>835</v>
      </c>
      <c r="C816" s="219"/>
    </row>
    <row r="817" spans="1:8" x14ac:dyDescent="0.2">
      <c r="A817" s="210">
        <v>1742000440</v>
      </c>
      <c r="B817" s="210" t="s">
        <v>558</v>
      </c>
      <c r="C817" s="219">
        <v>11000</v>
      </c>
      <c r="D817" s="211">
        <v>11000</v>
      </c>
      <c r="E817" s="211">
        <v>9488.65</v>
      </c>
      <c r="F817" s="211">
        <v>11010.05</v>
      </c>
      <c r="G817" s="211">
        <v>8509.25</v>
      </c>
      <c r="H817" s="211">
        <v>8253</v>
      </c>
    </row>
    <row r="818" spans="1:8" x14ac:dyDescent="0.2">
      <c r="A818" s="210">
        <v>1742000560</v>
      </c>
      <c r="B818" s="210" t="s">
        <v>728</v>
      </c>
      <c r="C818" s="219">
        <v>0</v>
      </c>
      <c r="D818" s="211">
        <v>1500</v>
      </c>
      <c r="H818" s="211">
        <v>3050</v>
      </c>
    </row>
    <row r="819" spans="1:8" x14ac:dyDescent="0.2">
      <c r="A819" s="210">
        <v>1742000720</v>
      </c>
      <c r="B819" s="210" t="s">
        <v>689</v>
      </c>
      <c r="C819" s="220">
        <v>90000</v>
      </c>
      <c r="D819" s="211">
        <v>93850</v>
      </c>
      <c r="F819" s="211">
        <v>86121.73</v>
      </c>
      <c r="H819" s="211">
        <v>110467.01</v>
      </c>
    </row>
    <row r="820" spans="1:8" x14ac:dyDescent="0.2">
      <c r="A820" s="210">
        <v>1742000740</v>
      </c>
      <c r="B820" s="210" t="s">
        <v>737</v>
      </c>
      <c r="C820" s="219"/>
      <c r="H820" s="211">
        <v>1700</v>
      </c>
    </row>
    <row r="821" spans="1:8" x14ac:dyDescent="0.2">
      <c r="A821" s="210">
        <v>1742000750</v>
      </c>
      <c r="B821" s="210" t="s">
        <v>714</v>
      </c>
      <c r="C821" s="220">
        <v>80000</v>
      </c>
      <c r="D821" s="211">
        <v>80000</v>
      </c>
      <c r="E821" s="211">
        <v>42907.1</v>
      </c>
      <c r="F821" s="211">
        <v>84278.12</v>
      </c>
      <c r="G821" s="211">
        <v>-1.48</v>
      </c>
      <c r="H821" s="211">
        <v>86020.3</v>
      </c>
    </row>
    <row r="822" spans="1:8" x14ac:dyDescent="0.2">
      <c r="A822" s="210">
        <v>1742000780</v>
      </c>
      <c r="B822" s="210" t="s">
        <v>580</v>
      </c>
      <c r="C822" s="219"/>
    </row>
    <row r="823" spans="1:8" x14ac:dyDescent="0.2">
      <c r="A823" s="210">
        <v>1742000910</v>
      </c>
      <c r="B823" s="210" t="s">
        <v>738</v>
      </c>
      <c r="C823" s="220">
        <v>200000</v>
      </c>
      <c r="D823" s="211">
        <v>50000</v>
      </c>
      <c r="E823" s="211">
        <v>172859.11</v>
      </c>
      <c r="F823" s="211">
        <v>60000</v>
      </c>
      <c r="G823" s="211">
        <v>58438.22</v>
      </c>
      <c r="H823" s="211">
        <v>160000</v>
      </c>
    </row>
    <row r="824" spans="1:8" x14ac:dyDescent="0.2">
      <c r="A824" s="210">
        <v>1742000930</v>
      </c>
      <c r="B824" s="210" t="s">
        <v>739</v>
      </c>
      <c r="C824" s="219">
        <v>12000</v>
      </c>
      <c r="D824" s="211">
        <v>18000</v>
      </c>
      <c r="E824" s="211">
        <v>5000</v>
      </c>
      <c r="F824" s="211">
        <v>14158.99</v>
      </c>
      <c r="H824" s="211">
        <v>95000.5</v>
      </c>
    </row>
    <row r="825" spans="1:8" x14ac:dyDescent="0.2">
      <c r="A825" s="210">
        <v>1743000110</v>
      </c>
      <c r="B825" s="210" t="s">
        <v>523</v>
      </c>
      <c r="C825" s="219">
        <v>1366162</v>
      </c>
      <c r="D825" s="211">
        <v>1265261</v>
      </c>
      <c r="E825" s="211">
        <v>991158.85</v>
      </c>
      <c r="F825" s="211">
        <v>1338661.03</v>
      </c>
      <c r="G825" s="211">
        <v>1171048.75</v>
      </c>
      <c r="H825" s="211">
        <v>1093250.57</v>
      </c>
    </row>
    <row r="826" spans="1:8" x14ac:dyDescent="0.2">
      <c r="A826" s="210">
        <v>1743000720</v>
      </c>
      <c r="B826" s="210" t="s">
        <v>826</v>
      </c>
      <c r="C826" s="219">
        <v>235000</v>
      </c>
      <c r="D826" s="211">
        <v>180000</v>
      </c>
      <c r="E826" s="211">
        <v>115973.3</v>
      </c>
      <c r="F826" s="211">
        <v>216328.4</v>
      </c>
      <c r="H826" s="211">
        <v>223719.34</v>
      </c>
    </row>
    <row r="827" spans="1:8" x14ac:dyDescent="0.2">
      <c r="A827" s="210">
        <v>1743000740</v>
      </c>
      <c r="B827" s="210" t="s">
        <v>737</v>
      </c>
      <c r="C827" s="219">
        <v>38000</v>
      </c>
      <c r="D827" s="211">
        <v>25000</v>
      </c>
      <c r="E827" s="211">
        <v>12188.6</v>
      </c>
      <c r="F827" s="211">
        <v>17951.400000000001</v>
      </c>
      <c r="H827" s="211">
        <v>34894</v>
      </c>
    </row>
    <row r="828" spans="1:8" x14ac:dyDescent="0.2">
      <c r="A828" s="210">
        <v>1743000742</v>
      </c>
      <c r="B828" s="210" t="s">
        <v>1163</v>
      </c>
      <c r="C828" s="219">
        <v>10000</v>
      </c>
      <c r="H828" s="211">
        <v>11778.3</v>
      </c>
    </row>
    <row r="829" spans="1:8" x14ac:dyDescent="0.2">
      <c r="A829" s="210">
        <v>1743000750</v>
      </c>
      <c r="B829" s="210" t="s">
        <v>714</v>
      </c>
      <c r="C829" s="219">
        <f>125000+12000+13000+13000</f>
        <v>163000</v>
      </c>
      <c r="D829" s="211">
        <v>156000</v>
      </c>
      <c r="E829" s="211">
        <v>109843.29</v>
      </c>
      <c r="F829" s="211">
        <v>163852.85999999999</v>
      </c>
      <c r="G829" s="211">
        <v>105537</v>
      </c>
      <c r="H829" s="211">
        <v>45765.15</v>
      </c>
    </row>
    <row r="830" spans="1:8" x14ac:dyDescent="0.2">
      <c r="A830" s="210">
        <v>1743000751</v>
      </c>
      <c r="B830" s="210" t="s">
        <v>141</v>
      </c>
      <c r="C830" s="219">
        <v>0</v>
      </c>
      <c r="D830" s="211">
        <v>95823</v>
      </c>
      <c r="E830" s="211">
        <v>54756</v>
      </c>
    </row>
    <row r="831" spans="1:8" x14ac:dyDescent="0.2">
      <c r="A831" s="210">
        <v>1743000770</v>
      </c>
      <c r="B831" s="210" t="s">
        <v>740</v>
      </c>
      <c r="C831" s="219">
        <f>3800000-200000</f>
        <v>3600000</v>
      </c>
      <c r="D831" s="211">
        <v>3200000</v>
      </c>
      <c r="E831" s="211">
        <v>2053492.35</v>
      </c>
      <c r="F831" s="211">
        <v>3132963.14</v>
      </c>
      <c r="G831" s="211">
        <v>3313545.24</v>
      </c>
      <c r="H831" s="211">
        <v>3402780.37</v>
      </c>
    </row>
    <row r="832" spans="1:8" x14ac:dyDescent="0.2">
      <c r="A832" s="210">
        <v>1743000780</v>
      </c>
      <c r="B832" s="210" t="s">
        <v>580</v>
      </c>
      <c r="C832" s="219"/>
      <c r="G832" s="211">
        <v>1300</v>
      </c>
    </row>
    <row r="833" spans="1:8" x14ac:dyDescent="0.2">
      <c r="A833" s="210">
        <v>1743000910</v>
      </c>
      <c r="B833" s="210" t="s">
        <v>741</v>
      </c>
      <c r="C833" s="219"/>
      <c r="H833" s="211">
        <v>590335</v>
      </c>
    </row>
    <row r="834" spans="1:8" x14ac:dyDescent="0.2">
      <c r="A834" s="210">
        <v>1743000981</v>
      </c>
      <c r="B834" s="210" t="s">
        <v>74</v>
      </c>
      <c r="C834" s="219"/>
      <c r="G834" s="211">
        <v>665</v>
      </c>
    </row>
    <row r="835" spans="1:8" x14ac:dyDescent="0.2">
      <c r="A835" s="210">
        <v>1743001731</v>
      </c>
      <c r="B835" s="210" t="s">
        <v>742</v>
      </c>
      <c r="C835" s="219">
        <v>27091</v>
      </c>
      <c r="D835" s="211">
        <v>35000</v>
      </c>
      <c r="E835" s="211">
        <v>16605.650000000001</v>
      </c>
      <c r="F835" s="211">
        <v>29923.13</v>
      </c>
      <c r="G835" s="211">
        <v>36488.36</v>
      </c>
      <c r="H835" s="211">
        <v>46385.7</v>
      </c>
    </row>
    <row r="836" spans="1:8" x14ac:dyDescent="0.2">
      <c r="A836" s="210">
        <v>1743002731</v>
      </c>
      <c r="B836" s="210" t="s">
        <v>743</v>
      </c>
      <c r="C836" s="219">
        <v>40535</v>
      </c>
      <c r="D836" s="211">
        <v>40000</v>
      </c>
      <c r="E836" s="211">
        <v>31513.33</v>
      </c>
      <c r="F836" s="211">
        <v>36585.4</v>
      </c>
      <c r="G836" s="211">
        <v>43004.38</v>
      </c>
      <c r="H836" s="211">
        <v>67699.63</v>
      </c>
    </row>
    <row r="837" spans="1:8" x14ac:dyDescent="0.2">
      <c r="A837" s="210">
        <v>1743003731</v>
      </c>
      <c r="B837" s="210" t="s">
        <v>744</v>
      </c>
      <c r="C837" s="220">
        <v>0</v>
      </c>
      <c r="D837" s="211">
        <v>60000</v>
      </c>
      <c r="E837" s="211">
        <v>9546.24</v>
      </c>
      <c r="F837" s="211">
        <v>30392.31</v>
      </c>
      <c r="G837" s="211">
        <v>15991.85</v>
      </c>
      <c r="H837" s="211">
        <v>16284.55</v>
      </c>
    </row>
    <row r="838" spans="1:8" x14ac:dyDescent="0.2">
      <c r="A838" s="210">
        <v>1743004731</v>
      </c>
      <c r="B838" s="210" t="s">
        <v>745</v>
      </c>
      <c r="C838" s="219">
        <v>1647</v>
      </c>
      <c r="D838" s="211">
        <v>2500</v>
      </c>
      <c r="E838" s="211">
        <v>2606.52</v>
      </c>
      <c r="F838" s="211">
        <v>1146</v>
      </c>
      <c r="G838" s="211">
        <v>2534.34</v>
      </c>
      <c r="H838" s="211">
        <v>7121.47</v>
      </c>
    </row>
    <row r="839" spans="1:8" x14ac:dyDescent="0.2">
      <c r="A839" s="210">
        <v>1743005731</v>
      </c>
      <c r="B839" s="210" t="s">
        <v>746</v>
      </c>
      <c r="C839" s="219">
        <v>1647</v>
      </c>
      <c r="D839" s="211">
        <v>1200</v>
      </c>
      <c r="E839" s="211">
        <v>635</v>
      </c>
      <c r="F839" s="211">
        <v>1113</v>
      </c>
      <c r="G839" s="211">
        <v>1492</v>
      </c>
      <c r="H839" s="211">
        <v>1111</v>
      </c>
    </row>
    <row r="840" spans="1:8" x14ac:dyDescent="0.2">
      <c r="A840" s="210">
        <v>1743006731</v>
      </c>
      <c r="B840" s="210" t="s">
        <v>747</v>
      </c>
      <c r="C840" s="219">
        <v>1647</v>
      </c>
      <c r="D840" s="211">
        <v>1000</v>
      </c>
      <c r="E840" s="211">
        <v>635</v>
      </c>
      <c r="F840" s="211">
        <v>1146</v>
      </c>
      <c r="G840" s="211">
        <v>1146</v>
      </c>
      <c r="H840" s="211">
        <v>1299</v>
      </c>
    </row>
    <row r="841" spans="1:8" x14ac:dyDescent="0.2">
      <c r="A841" s="210">
        <v>1743007530</v>
      </c>
      <c r="B841" s="210" t="s">
        <v>142</v>
      </c>
      <c r="C841" s="219">
        <v>63866</v>
      </c>
      <c r="D841" s="211">
        <v>60000</v>
      </c>
      <c r="E841" s="211">
        <v>40611.410000000003</v>
      </c>
      <c r="F841" s="211">
        <v>59007.88</v>
      </c>
      <c r="G841" s="211">
        <v>58193.99</v>
      </c>
    </row>
    <row r="842" spans="1:8" x14ac:dyDescent="0.2">
      <c r="A842" s="210">
        <v>1743007731</v>
      </c>
      <c r="B842" s="210" t="s">
        <v>1511</v>
      </c>
      <c r="C842" s="219"/>
      <c r="G842" s="211">
        <v>2381.89</v>
      </c>
      <c r="H842" s="211">
        <v>44302.45</v>
      </c>
    </row>
    <row r="843" spans="1:8" x14ac:dyDescent="0.2">
      <c r="A843" s="210">
        <v>1743008530</v>
      </c>
      <c r="B843" s="210" t="s">
        <v>1510</v>
      </c>
      <c r="C843" s="219"/>
      <c r="F843" s="211">
        <v>6466.06</v>
      </c>
    </row>
    <row r="844" spans="1:8" x14ac:dyDescent="0.2">
      <c r="A844" s="210">
        <v>1743200530</v>
      </c>
      <c r="B844" s="210" t="s">
        <v>118</v>
      </c>
      <c r="C844" s="219">
        <v>52884</v>
      </c>
      <c r="D844" s="211">
        <v>46000</v>
      </c>
      <c r="E844" s="211">
        <v>29889.11</v>
      </c>
      <c r="F844" s="211">
        <v>43283.89</v>
      </c>
      <c r="G844" s="211">
        <v>20983.57</v>
      </c>
    </row>
    <row r="845" spans="1:8" x14ac:dyDescent="0.2">
      <c r="A845" s="210">
        <v>1744000742</v>
      </c>
      <c r="B845" s="210" t="s">
        <v>1164</v>
      </c>
      <c r="C845" s="219"/>
    </row>
    <row r="846" spans="1:8" x14ac:dyDescent="0.2">
      <c r="A846" s="210">
        <v>1744000910</v>
      </c>
      <c r="B846" s="210" t="s">
        <v>738</v>
      </c>
      <c r="C846" s="219"/>
      <c r="D846" s="211">
        <v>85000</v>
      </c>
      <c r="F846" s="211">
        <v>100000</v>
      </c>
      <c r="G846" s="211">
        <v>27685</v>
      </c>
      <c r="H846" s="211">
        <v>2249665</v>
      </c>
    </row>
    <row r="847" spans="1:8" x14ac:dyDescent="0.2">
      <c r="A847" s="210">
        <v>1744300780</v>
      </c>
      <c r="B847" s="210" t="s">
        <v>143</v>
      </c>
      <c r="C847" s="219"/>
    </row>
    <row r="848" spans="1:8" x14ac:dyDescent="0.2">
      <c r="A848" s="210">
        <v>1744400521</v>
      </c>
      <c r="B848" s="210" t="s">
        <v>646</v>
      </c>
      <c r="C848" s="219">
        <v>0</v>
      </c>
      <c r="D848" s="211">
        <v>1000</v>
      </c>
      <c r="G848" s="211">
        <v>1000</v>
      </c>
    </row>
    <row r="849" spans="1:8" x14ac:dyDescent="0.2">
      <c r="A849" s="210">
        <v>1744400522</v>
      </c>
      <c r="B849" s="210" t="s">
        <v>748</v>
      </c>
      <c r="C849" s="219"/>
      <c r="G849" s="211">
        <v>1006</v>
      </c>
    </row>
    <row r="850" spans="1:8" x14ac:dyDescent="0.2">
      <c r="A850" s="210">
        <v>1744400750</v>
      </c>
      <c r="B850" s="210" t="s">
        <v>749</v>
      </c>
      <c r="C850" s="219">
        <v>0</v>
      </c>
      <c r="D850" s="211">
        <v>4000</v>
      </c>
      <c r="E850" s="211">
        <v>0.08</v>
      </c>
      <c r="F850" s="211">
        <v>4000</v>
      </c>
      <c r="G850" s="211">
        <v>3999.2</v>
      </c>
      <c r="H850" s="211">
        <v>4108</v>
      </c>
    </row>
    <row r="851" spans="1:8" x14ac:dyDescent="0.2">
      <c r="A851" s="210">
        <v>1745000810</v>
      </c>
      <c r="B851" s="210" t="s">
        <v>750</v>
      </c>
      <c r="C851" s="219">
        <v>375638</v>
      </c>
      <c r="D851" s="211">
        <v>361212</v>
      </c>
      <c r="E851" s="211">
        <v>361212</v>
      </c>
      <c r="F851" s="211">
        <v>354409</v>
      </c>
      <c r="G851" s="211">
        <v>336363</v>
      </c>
      <c r="H851" s="211">
        <v>292753</v>
      </c>
    </row>
    <row r="852" spans="1:8" x14ac:dyDescent="0.2">
      <c r="A852" s="210">
        <v>1746000110</v>
      </c>
      <c r="B852" s="210" t="s">
        <v>523</v>
      </c>
      <c r="C852" s="219">
        <v>251032</v>
      </c>
      <c r="D852" s="211">
        <v>346450</v>
      </c>
      <c r="E852" s="211">
        <v>243499.27</v>
      </c>
      <c r="F852" s="211">
        <v>338360.79</v>
      </c>
      <c r="G852" s="211">
        <v>439073.19</v>
      </c>
      <c r="H852" s="211">
        <v>516525.29</v>
      </c>
    </row>
    <row r="853" spans="1:8" x14ac:dyDescent="0.2">
      <c r="A853" s="210">
        <v>1746000210</v>
      </c>
      <c r="B853" s="210" t="s">
        <v>920</v>
      </c>
      <c r="C853" s="219"/>
    </row>
    <row r="854" spans="1:8" x14ac:dyDescent="0.2">
      <c r="A854" s="210">
        <v>1746000430</v>
      </c>
      <c r="B854" s="210" t="s">
        <v>751</v>
      </c>
      <c r="C854" s="219">
        <f>(920000+405000+1745000)*1.025-500000</f>
        <v>2646749.9999999995</v>
      </c>
      <c r="D854" s="211">
        <v>2410000</v>
      </c>
      <c r="E854" s="211">
        <v>405047.19</v>
      </c>
      <c r="F854" s="211">
        <v>2673180.7799999998</v>
      </c>
      <c r="G854" s="211">
        <v>3084670.78</v>
      </c>
      <c r="H854" s="211">
        <v>3749066.15</v>
      </c>
    </row>
    <row r="855" spans="1:8" x14ac:dyDescent="0.2">
      <c r="A855" s="210">
        <v>1746000530</v>
      </c>
      <c r="B855" s="210" t="s">
        <v>1509</v>
      </c>
      <c r="C855" s="219">
        <v>61711</v>
      </c>
      <c r="D855" s="211">
        <v>50000</v>
      </c>
      <c r="E855" s="211">
        <v>37844.9</v>
      </c>
      <c r="F855" s="211">
        <v>24580.43</v>
      </c>
    </row>
    <row r="856" spans="1:8" x14ac:dyDescent="0.2">
      <c r="A856" s="210">
        <v>1746000581</v>
      </c>
      <c r="B856" s="276" t="s">
        <v>1684</v>
      </c>
      <c r="C856" s="219">
        <f>1620</f>
        <v>1620</v>
      </c>
    </row>
    <row r="857" spans="1:8" x14ac:dyDescent="0.2">
      <c r="A857" s="210">
        <v>1746000720</v>
      </c>
      <c r="B857" s="210" t="s">
        <v>752</v>
      </c>
      <c r="C857" s="220">
        <v>95000</v>
      </c>
      <c r="D857" s="211">
        <v>100000</v>
      </c>
      <c r="E857" s="211">
        <v>53810</v>
      </c>
      <c r="F857" s="211">
        <v>103969.34</v>
      </c>
      <c r="H857" s="211">
        <v>104504</v>
      </c>
    </row>
    <row r="858" spans="1:8" x14ac:dyDescent="0.2">
      <c r="A858" s="210">
        <v>1746000731</v>
      </c>
      <c r="B858" s="210" t="s">
        <v>753</v>
      </c>
      <c r="C858" s="219">
        <v>1647</v>
      </c>
      <c r="D858" s="211">
        <v>2000</v>
      </c>
      <c r="E858" s="211">
        <v>2102</v>
      </c>
      <c r="F858" s="211">
        <v>1146</v>
      </c>
      <c r="G858" s="211">
        <v>3069</v>
      </c>
      <c r="H858" s="211">
        <v>1340</v>
      </c>
    </row>
    <row r="859" spans="1:8" x14ac:dyDescent="0.2">
      <c r="A859" s="210">
        <v>1746000732</v>
      </c>
      <c r="B859" s="210" t="s">
        <v>754</v>
      </c>
      <c r="C859" s="219"/>
      <c r="G859" s="211">
        <v>5038</v>
      </c>
      <c r="H859" s="211">
        <v>4885</v>
      </c>
    </row>
    <row r="860" spans="1:8" x14ac:dyDescent="0.2">
      <c r="A860" s="210">
        <v>1746000740</v>
      </c>
      <c r="B860" s="210" t="s">
        <v>755</v>
      </c>
      <c r="C860" s="220">
        <v>45000</v>
      </c>
      <c r="D860" s="211">
        <v>45000</v>
      </c>
      <c r="E860" s="211">
        <v>20376</v>
      </c>
      <c r="F860" s="211">
        <v>44585</v>
      </c>
      <c r="H860" s="211">
        <v>45805</v>
      </c>
    </row>
    <row r="861" spans="1:8" x14ac:dyDescent="0.2">
      <c r="A861" s="210">
        <v>1746000750</v>
      </c>
      <c r="B861" s="210" t="s">
        <v>756</v>
      </c>
      <c r="C861" s="219">
        <f>275000*12-275000*2-500000</f>
        <v>2250000</v>
      </c>
      <c r="D861" s="211">
        <v>2708640</v>
      </c>
      <c r="E861" s="211">
        <v>1763012.68</v>
      </c>
      <c r="F861" s="211">
        <v>3044809.02</v>
      </c>
      <c r="G861" s="211">
        <v>2809398.33</v>
      </c>
      <c r="H861" s="211">
        <v>3098592.52</v>
      </c>
    </row>
    <row r="862" spans="1:8" x14ac:dyDescent="0.2">
      <c r="A862" s="210">
        <v>1746000751</v>
      </c>
      <c r="B862" s="210" t="s">
        <v>757</v>
      </c>
      <c r="C862" s="219">
        <v>0</v>
      </c>
      <c r="D862" s="211">
        <v>6318</v>
      </c>
      <c r="E862" s="211">
        <v>6318</v>
      </c>
      <c r="F862" s="211">
        <v>45571.5</v>
      </c>
      <c r="G862" s="211">
        <v>179784.8</v>
      </c>
      <c r="H862" s="211">
        <v>103946.2</v>
      </c>
    </row>
    <row r="863" spans="1:8" x14ac:dyDescent="0.2">
      <c r="A863" s="210">
        <v>1746000752</v>
      </c>
      <c r="B863" s="210" t="s">
        <v>758</v>
      </c>
      <c r="C863" s="219">
        <f>80000*12</f>
        <v>960000</v>
      </c>
      <c r="D863" s="211">
        <v>901682</v>
      </c>
      <c r="E863" s="211">
        <v>593115</v>
      </c>
      <c r="F863" s="211">
        <v>982290</v>
      </c>
      <c r="G863" s="211">
        <v>925818</v>
      </c>
      <c r="H863" s="211">
        <v>891605</v>
      </c>
    </row>
    <row r="864" spans="1:8" x14ac:dyDescent="0.2">
      <c r="A864" s="210">
        <v>1746000753</v>
      </c>
      <c r="B864" s="210" t="s">
        <v>144</v>
      </c>
      <c r="C864" s="219"/>
      <c r="F864" s="211">
        <v>49779.66</v>
      </c>
      <c r="H864" s="211">
        <v>170280</v>
      </c>
    </row>
    <row r="865" spans="1:8" x14ac:dyDescent="0.2">
      <c r="A865" s="210">
        <v>1746000754</v>
      </c>
      <c r="B865" s="210" t="s">
        <v>145</v>
      </c>
      <c r="C865" s="219"/>
      <c r="H865" s="211">
        <v>69600</v>
      </c>
    </row>
    <row r="866" spans="1:8" x14ac:dyDescent="0.2">
      <c r="A866" s="210">
        <v>1746000770</v>
      </c>
      <c r="B866" s="210" t="s">
        <v>759</v>
      </c>
      <c r="C866" s="219"/>
      <c r="G866" s="211">
        <v>4590.8500000000004</v>
      </c>
      <c r="H866" s="211">
        <v>7017.33</v>
      </c>
    </row>
    <row r="867" spans="1:8" x14ac:dyDescent="0.2">
      <c r="A867" s="210">
        <v>1746000780</v>
      </c>
      <c r="B867" s="210" t="s">
        <v>760</v>
      </c>
      <c r="C867" s="219">
        <f>135*12-1620</f>
        <v>0</v>
      </c>
      <c r="D867" s="211">
        <v>18000</v>
      </c>
      <c r="E867" s="211">
        <v>660.56</v>
      </c>
      <c r="F867" s="211">
        <v>17780.580000000002</v>
      </c>
      <c r="G867" s="211">
        <v>15774.35</v>
      </c>
      <c r="H867" s="211">
        <v>18321.11</v>
      </c>
    </row>
    <row r="868" spans="1:8" x14ac:dyDescent="0.2">
      <c r="A868" s="210">
        <v>1746000930</v>
      </c>
      <c r="B868" s="210" t="s">
        <v>146</v>
      </c>
      <c r="C868" s="219"/>
    </row>
    <row r="869" spans="1:8" x14ac:dyDescent="0.2">
      <c r="A869" s="210">
        <v>1746000931</v>
      </c>
      <c r="B869" s="210" t="s">
        <v>761</v>
      </c>
      <c r="C869" s="220">
        <v>35000</v>
      </c>
      <c r="D869" s="211">
        <v>35000</v>
      </c>
      <c r="E869" s="211">
        <v>27859</v>
      </c>
      <c r="F869" s="211">
        <v>34932</v>
      </c>
      <c r="H869" s="211">
        <v>33680.93</v>
      </c>
    </row>
    <row r="870" spans="1:8" x14ac:dyDescent="0.2">
      <c r="A870" s="210">
        <v>1746001731</v>
      </c>
      <c r="B870" s="210" t="s">
        <v>1612</v>
      </c>
      <c r="C870" s="219">
        <v>0</v>
      </c>
      <c r="E870" s="211">
        <v>6229</v>
      </c>
    </row>
    <row r="871" spans="1:8" x14ac:dyDescent="0.2">
      <c r="A871" s="210">
        <v>1746100110</v>
      </c>
      <c r="B871" s="210" t="s">
        <v>530</v>
      </c>
      <c r="C871" s="219">
        <v>2090986</v>
      </c>
      <c r="D871" s="211">
        <v>1971510</v>
      </c>
      <c r="E871" s="211">
        <v>1408490.18</v>
      </c>
      <c r="F871" s="211">
        <v>2075693.16</v>
      </c>
      <c r="G871" s="211">
        <v>1944789.49</v>
      </c>
      <c r="H871" s="211">
        <v>1928924.59</v>
      </c>
    </row>
    <row r="872" spans="1:8" x14ac:dyDescent="0.2">
      <c r="A872" s="210">
        <v>1746100210</v>
      </c>
      <c r="B872" s="210" t="s">
        <v>249</v>
      </c>
      <c r="C872" s="219"/>
      <c r="G872" s="211">
        <v>5605.07</v>
      </c>
      <c r="H872" s="211">
        <v>5630.28</v>
      </c>
    </row>
    <row r="873" spans="1:8" x14ac:dyDescent="0.2">
      <c r="A873" s="210">
        <v>1746100521</v>
      </c>
      <c r="B873" s="210" t="s">
        <v>1613</v>
      </c>
      <c r="C873" s="220">
        <f>39500</f>
        <v>39500</v>
      </c>
      <c r="D873" s="211">
        <v>6150</v>
      </c>
    </row>
    <row r="874" spans="1:8" x14ac:dyDescent="0.2">
      <c r="A874" s="210">
        <v>1746100560</v>
      </c>
      <c r="B874" s="210" t="s">
        <v>762</v>
      </c>
      <c r="C874" s="219">
        <v>1500</v>
      </c>
      <c r="D874" s="211">
        <v>1000</v>
      </c>
      <c r="E874" s="211">
        <v>616.38</v>
      </c>
      <c r="G874" s="211">
        <v>2316.59</v>
      </c>
      <c r="H874" s="211">
        <v>1509.92</v>
      </c>
    </row>
    <row r="875" spans="1:8" x14ac:dyDescent="0.2">
      <c r="A875" s="210">
        <v>1746100581</v>
      </c>
      <c r="B875" s="276" t="s">
        <v>1685</v>
      </c>
      <c r="C875" s="219">
        <f>280*12+286*6+87*12</f>
        <v>6120</v>
      </c>
    </row>
    <row r="876" spans="1:8" x14ac:dyDescent="0.2">
      <c r="A876" s="210">
        <v>1746100720</v>
      </c>
      <c r="B876" s="210" t="s">
        <v>763</v>
      </c>
      <c r="C876" s="219">
        <f>280*12+196640-280*12</f>
        <v>196640</v>
      </c>
      <c r="D876" s="211">
        <v>200000</v>
      </c>
      <c r="E876" s="211">
        <v>151336.01999999999</v>
      </c>
      <c r="F876" s="211">
        <v>246573.45</v>
      </c>
      <c r="G876" s="211">
        <v>2221.94</v>
      </c>
      <c r="H876" s="211">
        <v>188097.38</v>
      </c>
    </row>
    <row r="877" spans="1:8" x14ac:dyDescent="0.2">
      <c r="A877" s="210">
        <v>1746100731</v>
      </c>
      <c r="B877" s="210" t="s">
        <v>764</v>
      </c>
      <c r="C877" s="219">
        <v>48596</v>
      </c>
      <c r="D877" s="211">
        <v>50000</v>
      </c>
      <c r="E877" s="211">
        <v>29526.720000000001</v>
      </c>
      <c r="F877" s="211">
        <v>52176.06</v>
      </c>
      <c r="G877" s="211">
        <v>50391.9</v>
      </c>
      <c r="H877" s="211">
        <v>60594.01</v>
      </c>
    </row>
    <row r="878" spans="1:8" x14ac:dyDescent="0.2">
      <c r="A878" s="210">
        <v>1746100732</v>
      </c>
      <c r="B878" s="210" t="s">
        <v>1508</v>
      </c>
      <c r="C878" s="219"/>
      <c r="F878" s="211">
        <v>1575</v>
      </c>
      <c r="H878" s="211">
        <v>26924.28</v>
      </c>
    </row>
    <row r="879" spans="1:8" x14ac:dyDescent="0.2">
      <c r="A879" s="210">
        <v>1746100733</v>
      </c>
      <c r="B879" s="210" t="s">
        <v>1507</v>
      </c>
      <c r="C879" s="219"/>
      <c r="F879" s="211">
        <v>3150</v>
      </c>
      <c r="G879" s="211">
        <v>53</v>
      </c>
      <c r="H879" s="211">
        <v>19925.740000000002</v>
      </c>
    </row>
    <row r="880" spans="1:8" x14ac:dyDescent="0.2">
      <c r="A880" s="210">
        <v>1746100740</v>
      </c>
      <c r="B880" s="210" t="s">
        <v>767</v>
      </c>
      <c r="C880" s="220">
        <f>25000-286*6-87*12</f>
        <v>22240</v>
      </c>
      <c r="D880" s="211">
        <v>25000</v>
      </c>
      <c r="E880" s="211">
        <v>22748.59</v>
      </c>
      <c r="F880" s="211">
        <v>27641.77</v>
      </c>
      <c r="G880" s="211">
        <v>4256.67</v>
      </c>
      <c r="H880" s="211">
        <v>26550.6</v>
      </c>
    </row>
    <row r="881" spans="1:8" x14ac:dyDescent="0.2">
      <c r="A881" s="210">
        <v>1746100750</v>
      </c>
      <c r="B881" s="210" t="s">
        <v>1152</v>
      </c>
      <c r="C881" s="220">
        <f>20000*12+30000</f>
        <v>270000</v>
      </c>
      <c r="D881" s="211">
        <v>239000</v>
      </c>
      <c r="E881" s="211">
        <v>152284.01</v>
      </c>
      <c r="F881" s="211">
        <v>412858.62</v>
      </c>
      <c r="G881" s="211">
        <v>370905.98</v>
      </c>
      <c r="H881" s="211">
        <v>313900.96999999997</v>
      </c>
    </row>
    <row r="882" spans="1:8" x14ac:dyDescent="0.2">
      <c r="A882" s="210">
        <v>1746100751</v>
      </c>
      <c r="B882" s="210" t="s">
        <v>1614</v>
      </c>
      <c r="C882" s="220">
        <v>200000</v>
      </c>
      <c r="D882" s="211">
        <v>70000</v>
      </c>
    </row>
    <row r="883" spans="1:8" x14ac:dyDescent="0.2">
      <c r="A883" s="210">
        <v>1746100752</v>
      </c>
      <c r="B883" s="227" t="s">
        <v>1664</v>
      </c>
      <c r="C883" s="220">
        <f>75000</f>
        <v>75000</v>
      </c>
    </row>
    <row r="884" spans="1:8" x14ac:dyDescent="0.2">
      <c r="A884" s="210">
        <v>1746100780</v>
      </c>
      <c r="B884" s="210" t="s">
        <v>768</v>
      </c>
      <c r="C884" s="219">
        <v>7000</v>
      </c>
      <c r="D884" s="211">
        <v>7500</v>
      </c>
      <c r="E884" s="211">
        <v>7857</v>
      </c>
      <c r="F884" s="211">
        <v>4912.33</v>
      </c>
      <c r="G884" s="211">
        <v>15822.66</v>
      </c>
      <c r="H884" s="211">
        <v>4500</v>
      </c>
    </row>
    <row r="885" spans="1:8" x14ac:dyDescent="0.2">
      <c r="A885" s="210">
        <v>1746101731</v>
      </c>
      <c r="B885" s="210" t="s">
        <v>1506</v>
      </c>
      <c r="C885" s="219">
        <v>24887</v>
      </c>
      <c r="D885" s="211">
        <v>21000</v>
      </c>
      <c r="E885" s="211">
        <v>21369.21</v>
      </c>
      <c r="F885" s="211">
        <v>22315.65</v>
      </c>
      <c r="G885" s="211">
        <v>23126.77</v>
      </c>
    </row>
    <row r="886" spans="1:8" x14ac:dyDescent="0.2">
      <c r="A886" s="210">
        <v>1746102731</v>
      </c>
      <c r="B886" s="210" t="s">
        <v>1505</v>
      </c>
      <c r="C886" s="219">
        <v>22474</v>
      </c>
      <c r="D886" s="211">
        <v>18000</v>
      </c>
      <c r="E886" s="211">
        <v>17380.25</v>
      </c>
      <c r="F886" s="211">
        <v>19265.66</v>
      </c>
      <c r="G886" s="211">
        <v>24169.71</v>
      </c>
    </row>
    <row r="887" spans="1:8" x14ac:dyDescent="0.2">
      <c r="A887" s="210">
        <v>1746103731</v>
      </c>
      <c r="B887" s="210" t="s">
        <v>1504</v>
      </c>
      <c r="C887" s="219"/>
      <c r="E887" s="211">
        <v>395.53</v>
      </c>
    </row>
    <row r="888" spans="1:8" x14ac:dyDescent="0.2">
      <c r="A888" s="210">
        <v>1746104731</v>
      </c>
      <c r="B888" s="210" t="s">
        <v>1615</v>
      </c>
      <c r="C888" s="219">
        <v>23158</v>
      </c>
      <c r="D888" s="211">
        <v>24000</v>
      </c>
      <c r="E888" s="211">
        <v>3563</v>
      </c>
      <c r="F888" s="211">
        <v>2251</v>
      </c>
    </row>
    <row r="889" spans="1:8" x14ac:dyDescent="0.2">
      <c r="A889" s="210">
        <v>1746200731</v>
      </c>
      <c r="B889" s="210" t="s">
        <v>119</v>
      </c>
      <c r="C889" s="219"/>
      <c r="H889" s="211">
        <v>23437.17</v>
      </c>
    </row>
    <row r="890" spans="1:8" x14ac:dyDescent="0.2">
      <c r="A890" s="210">
        <v>1746300731</v>
      </c>
      <c r="B890" s="210" t="s">
        <v>770</v>
      </c>
      <c r="C890" s="219">
        <v>39916</v>
      </c>
      <c r="D890" s="211">
        <v>40000</v>
      </c>
      <c r="E890" s="211">
        <v>25077.5</v>
      </c>
      <c r="F890" s="211">
        <v>39498.28</v>
      </c>
      <c r="G890" s="211">
        <v>46080.15</v>
      </c>
      <c r="H890" s="211">
        <v>31370.59</v>
      </c>
    </row>
    <row r="891" spans="1:8" x14ac:dyDescent="0.2">
      <c r="A891" s="210">
        <v>1746400731</v>
      </c>
      <c r="B891" s="210" t="s">
        <v>1503</v>
      </c>
      <c r="C891" s="219">
        <v>39156</v>
      </c>
      <c r="D891" s="211">
        <v>23000</v>
      </c>
      <c r="E891" s="211">
        <v>27596.18</v>
      </c>
      <c r="F891" s="211">
        <v>29701.34</v>
      </c>
    </row>
    <row r="892" spans="1:8" x14ac:dyDescent="0.2">
      <c r="A892" s="210">
        <v>1747000731</v>
      </c>
      <c r="B892" s="210" t="s">
        <v>1616</v>
      </c>
      <c r="C892" s="219"/>
      <c r="E892" s="211">
        <v>992</v>
      </c>
      <c r="F892" s="211">
        <v>6617.72</v>
      </c>
      <c r="G892" s="211">
        <v>11521.18</v>
      </c>
      <c r="H892" s="211">
        <v>15834.9</v>
      </c>
    </row>
    <row r="893" spans="1:8" x14ac:dyDescent="0.2">
      <c r="A893" s="210">
        <v>1747200110</v>
      </c>
      <c r="B893" s="210" t="s">
        <v>531</v>
      </c>
      <c r="C893" s="219">
        <v>256270</v>
      </c>
      <c r="D893" s="211">
        <v>82000</v>
      </c>
      <c r="E893" s="211">
        <v>51244.3</v>
      </c>
      <c r="G893" s="211">
        <v>101301.49</v>
      </c>
      <c r="H893" s="211">
        <v>237154.91</v>
      </c>
    </row>
    <row r="894" spans="1:8" x14ac:dyDescent="0.2">
      <c r="A894" s="210">
        <v>1747200430</v>
      </c>
      <c r="B894" s="276" t="s">
        <v>1687</v>
      </c>
      <c r="C894" s="219">
        <f>170*6</f>
        <v>1020</v>
      </c>
    </row>
    <row r="895" spans="1:8" x14ac:dyDescent="0.2">
      <c r="A895" s="210">
        <v>1747200432</v>
      </c>
      <c r="B895" s="210" t="s">
        <v>772</v>
      </c>
      <c r="C895" s="219"/>
    </row>
    <row r="896" spans="1:8" x14ac:dyDescent="0.2">
      <c r="A896" s="210">
        <v>1747200581</v>
      </c>
      <c r="B896" s="276" t="s">
        <v>1686</v>
      </c>
      <c r="C896" s="219">
        <f>25*12+160*12</f>
        <v>2220</v>
      </c>
    </row>
    <row r="897" spans="1:8" x14ac:dyDescent="0.2">
      <c r="A897" s="210">
        <v>1747200731</v>
      </c>
      <c r="B897" s="210" t="s">
        <v>1502</v>
      </c>
      <c r="C897" s="219"/>
    </row>
    <row r="898" spans="1:8" x14ac:dyDescent="0.2">
      <c r="A898" s="210">
        <v>1747200780</v>
      </c>
      <c r="B898" s="210" t="s">
        <v>773</v>
      </c>
      <c r="C898" s="219">
        <f>1730000+970000-200000-25*12-160*12</f>
        <v>2497780</v>
      </c>
      <c r="D898" s="211">
        <v>1726710</v>
      </c>
      <c r="E898" s="211">
        <v>1062056.42</v>
      </c>
      <c r="F898" s="211">
        <v>1174859.27</v>
      </c>
      <c r="G898" s="211">
        <v>1073566.3700000001</v>
      </c>
      <c r="H898" s="211">
        <v>951670.38</v>
      </c>
    </row>
    <row r="899" spans="1:8" x14ac:dyDescent="0.2">
      <c r="A899" s="210">
        <v>1747201731</v>
      </c>
      <c r="B899" s="277" t="s">
        <v>1696</v>
      </c>
      <c r="C899" s="219">
        <v>31796</v>
      </c>
    </row>
    <row r="900" spans="1:8" x14ac:dyDescent="0.2">
      <c r="A900" s="210">
        <v>1747220530</v>
      </c>
      <c r="B900" s="210" t="s">
        <v>774</v>
      </c>
      <c r="C900" s="219">
        <v>0</v>
      </c>
      <c r="D900" s="211">
        <v>25000</v>
      </c>
      <c r="E900" s="211">
        <v>4279.21</v>
      </c>
      <c r="F900" s="211">
        <v>22680</v>
      </c>
      <c r="G900" s="211">
        <v>11749.34</v>
      </c>
    </row>
    <row r="901" spans="1:8" x14ac:dyDescent="0.2">
      <c r="A901" s="210">
        <v>1747220731</v>
      </c>
      <c r="B901" s="210" t="s">
        <v>1501</v>
      </c>
      <c r="C901" s="219"/>
      <c r="H901" s="211">
        <v>16288.1</v>
      </c>
    </row>
    <row r="902" spans="1:8" x14ac:dyDescent="0.2">
      <c r="A902" s="210">
        <v>1749000110</v>
      </c>
      <c r="B902" s="210" t="s">
        <v>523</v>
      </c>
      <c r="C902" s="219">
        <v>982176</v>
      </c>
      <c r="D902" s="211">
        <v>952040</v>
      </c>
      <c r="E902" s="211">
        <v>731188.47</v>
      </c>
      <c r="F902" s="211">
        <v>927978.7</v>
      </c>
      <c r="G902" s="211">
        <v>1301547.76</v>
      </c>
      <c r="H902" s="211">
        <v>1431812.14</v>
      </c>
    </row>
    <row r="903" spans="1:8" x14ac:dyDescent="0.2">
      <c r="A903" s="210">
        <v>1749000731</v>
      </c>
      <c r="B903" s="210" t="s">
        <v>1500</v>
      </c>
      <c r="C903" s="219"/>
      <c r="F903" s="211">
        <v>20198.330000000002</v>
      </c>
      <c r="G903" s="211">
        <v>20618.73</v>
      </c>
      <c r="H903" s="211">
        <v>21561.81</v>
      </c>
    </row>
    <row r="904" spans="1:8" x14ac:dyDescent="0.2">
      <c r="A904" s="210">
        <v>1749000750</v>
      </c>
      <c r="B904" s="210" t="s">
        <v>714</v>
      </c>
      <c r="C904" s="219">
        <f>12000+73242+90000</f>
        <v>175242</v>
      </c>
      <c r="D904" s="211">
        <v>17500</v>
      </c>
      <c r="F904" s="211">
        <v>20596.12</v>
      </c>
      <c r="H904" s="211">
        <v>12342.73</v>
      </c>
    </row>
    <row r="905" spans="1:8" x14ac:dyDescent="0.2">
      <c r="A905" s="210">
        <v>1749000770</v>
      </c>
      <c r="B905" s="210" t="s">
        <v>740</v>
      </c>
      <c r="C905" s="219"/>
    </row>
    <row r="906" spans="1:8" x14ac:dyDescent="0.2">
      <c r="A906" s="210">
        <v>1749000981</v>
      </c>
      <c r="B906" s="210" t="s">
        <v>74</v>
      </c>
      <c r="C906" s="219"/>
      <c r="G906" s="211">
        <v>119</v>
      </c>
    </row>
    <row r="907" spans="1:8" x14ac:dyDescent="0.2">
      <c r="A907" s="210">
        <v>1751000110</v>
      </c>
      <c r="B907" s="210" t="s">
        <v>919</v>
      </c>
      <c r="C907" s="219"/>
      <c r="G907" s="211">
        <v>1009.83</v>
      </c>
      <c r="H907" s="211">
        <v>1561.39</v>
      </c>
    </row>
    <row r="908" spans="1:8" x14ac:dyDescent="0.2">
      <c r="A908" s="210">
        <v>1751000530</v>
      </c>
      <c r="B908" s="210" t="s">
        <v>1499</v>
      </c>
      <c r="C908" s="219">
        <f>102108</f>
        <v>102108</v>
      </c>
      <c r="D908" s="211">
        <v>98400</v>
      </c>
      <c r="E908" s="211">
        <v>69179.42</v>
      </c>
      <c r="F908" s="211">
        <v>78131.960000000006</v>
      </c>
    </row>
    <row r="909" spans="1:8" x14ac:dyDescent="0.2">
      <c r="A909" s="210">
        <v>1751000750</v>
      </c>
      <c r="B909" s="210" t="s">
        <v>1578</v>
      </c>
      <c r="C909" s="219">
        <f>379606+321235</f>
        <v>700841</v>
      </c>
      <c r="D909" s="211">
        <v>309106</v>
      </c>
      <c r="E909" s="211">
        <v>278606.01</v>
      </c>
    </row>
    <row r="910" spans="1:8" x14ac:dyDescent="0.2">
      <c r="A910" s="210">
        <v>1751000780</v>
      </c>
      <c r="B910" s="210" t="s">
        <v>776</v>
      </c>
      <c r="C910" s="219">
        <f>810000-150000+120000</f>
        <v>780000</v>
      </c>
      <c r="D910" s="211">
        <v>863300</v>
      </c>
      <c r="E910" s="211">
        <v>855781.5</v>
      </c>
      <c r="F910" s="211">
        <v>774944.22</v>
      </c>
      <c r="G910" s="211">
        <v>831057.45</v>
      </c>
      <c r="H910" s="211">
        <v>832333.1</v>
      </c>
    </row>
    <row r="911" spans="1:8" x14ac:dyDescent="0.2">
      <c r="A911" s="210">
        <v>1751000910</v>
      </c>
      <c r="B911" s="210" t="s">
        <v>738</v>
      </c>
      <c r="C911" s="219"/>
    </row>
    <row r="912" spans="1:8" x14ac:dyDescent="0.2">
      <c r="A912" s="210">
        <v>1751001731</v>
      </c>
      <c r="B912" s="210" t="s">
        <v>1498</v>
      </c>
      <c r="C912" s="219"/>
      <c r="F912" s="211">
        <v>437.23</v>
      </c>
      <c r="G912" s="211">
        <v>42896.39</v>
      </c>
      <c r="H912" s="211">
        <v>34874.300000000003</v>
      </c>
    </row>
    <row r="913" spans="1:8" x14ac:dyDescent="0.2">
      <c r="A913" s="210">
        <v>1751001780</v>
      </c>
      <c r="B913" s="210" t="s">
        <v>778</v>
      </c>
      <c r="C913" s="219">
        <f>240000-50000</f>
        <v>190000</v>
      </c>
      <c r="D913" s="211">
        <v>240000</v>
      </c>
      <c r="E913" s="211">
        <v>241631.21</v>
      </c>
      <c r="F913" s="211">
        <v>220140.91</v>
      </c>
      <c r="G913" s="211">
        <v>302054.01</v>
      </c>
      <c r="H913" s="211">
        <v>250868</v>
      </c>
    </row>
    <row r="914" spans="1:8" x14ac:dyDescent="0.2">
      <c r="A914" s="210">
        <v>1751002110</v>
      </c>
      <c r="B914" s="210" t="s">
        <v>919</v>
      </c>
      <c r="C914" s="219"/>
    </row>
    <row r="915" spans="1:8" x14ac:dyDescent="0.2">
      <c r="A915" s="210">
        <v>1751002731</v>
      </c>
      <c r="B915" s="221" t="s">
        <v>779</v>
      </c>
      <c r="C915" s="219">
        <v>0</v>
      </c>
      <c r="D915" s="211">
        <v>1500</v>
      </c>
      <c r="E915" s="211">
        <v>100</v>
      </c>
      <c r="F915" s="211">
        <v>2798</v>
      </c>
      <c r="G915" s="211">
        <v>1146</v>
      </c>
      <c r="H915" s="211">
        <v>1144</v>
      </c>
    </row>
    <row r="916" spans="1:8" x14ac:dyDescent="0.2">
      <c r="A916" s="210">
        <v>1751002780</v>
      </c>
      <c r="B916" s="210" t="s">
        <v>780</v>
      </c>
      <c r="C916" s="219">
        <f>532000+9000*9*1.17-9000*9*1.17</f>
        <v>532000</v>
      </c>
      <c r="D916" s="211">
        <v>641740</v>
      </c>
      <c r="E916" s="211">
        <v>408445.5</v>
      </c>
      <c r="F916" s="211">
        <v>892718.51</v>
      </c>
      <c r="G916" s="211">
        <v>450989.91</v>
      </c>
      <c r="H916" s="211">
        <v>607504.62</v>
      </c>
    </row>
    <row r="917" spans="1:8" x14ac:dyDescent="0.2">
      <c r="A917" s="210">
        <v>1751002781</v>
      </c>
      <c r="B917" s="217" t="s">
        <v>1646</v>
      </c>
      <c r="C917" s="219">
        <f>300000-300000</f>
        <v>0</v>
      </c>
    </row>
    <row r="918" spans="1:8" x14ac:dyDescent="0.2">
      <c r="A918" s="210">
        <v>1751003731</v>
      </c>
      <c r="B918" s="210" t="s">
        <v>781</v>
      </c>
      <c r="C918" s="219">
        <v>1647</v>
      </c>
      <c r="D918" s="211">
        <v>1500</v>
      </c>
      <c r="E918" s="211">
        <v>602</v>
      </c>
      <c r="F918" s="211">
        <v>2042</v>
      </c>
      <c r="G918" s="211">
        <v>1187</v>
      </c>
      <c r="H918" s="211">
        <v>1111</v>
      </c>
    </row>
    <row r="919" spans="1:8" x14ac:dyDescent="0.2">
      <c r="A919" s="210">
        <v>1751003780</v>
      </c>
      <c r="B919" s="210" t="s">
        <v>147</v>
      </c>
      <c r="C919" s="219">
        <v>35000</v>
      </c>
      <c r="D919" s="211">
        <v>35000</v>
      </c>
      <c r="E919" s="211">
        <v>32436.080000000002</v>
      </c>
      <c r="F919" s="211">
        <v>70002.509999999995</v>
      </c>
      <c r="G919" s="211">
        <v>94136.73</v>
      </c>
      <c r="H919" s="211">
        <v>76559</v>
      </c>
    </row>
    <row r="920" spans="1:8" x14ac:dyDescent="0.2">
      <c r="A920" s="210">
        <v>1751004731</v>
      </c>
      <c r="B920" s="210" t="s">
        <v>1617</v>
      </c>
      <c r="C920" s="219">
        <v>16541</v>
      </c>
      <c r="D920" s="211">
        <v>13000</v>
      </c>
      <c r="E920" s="211">
        <v>7081.42</v>
      </c>
      <c r="F920" s="211">
        <v>11420.04</v>
      </c>
      <c r="G920" s="211">
        <v>8925.4699999999993</v>
      </c>
    </row>
    <row r="921" spans="1:8" x14ac:dyDescent="0.2">
      <c r="A921" s="210">
        <v>1751078110</v>
      </c>
      <c r="B921" s="210" t="s">
        <v>919</v>
      </c>
      <c r="C921" s="219"/>
    </row>
    <row r="922" spans="1:8" x14ac:dyDescent="0.2">
      <c r="A922" s="210">
        <v>1751150780</v>
      </c>
      <c r="B922" s="210" t="s">
        <v>782</v>
      </c>
      <c r="C922" s="219"/>
      <c r="H922" s="211">
        <v>525000</v>
      </c>
    </row>
    <row r="923" spans="1:8" x14ac:dyDescent="0.2">
      <c r="A923" s="210">
        <v>1751150810</v>
      </c>
      <c r="B923" s="210" t="s">
        <v>794</v>
      </c>
      <c r="C923" s="219"/>
    </row>
    <row r="924" spans="1:8" x14ac:dyDescent="0.2">
      <c r="A924" s="210">
        <v>1751150811</v>
      </c>
      <c r="B924" s="210" t="s">
        <v>78</v>
      </c>
      <c r="C924" s="219">
        <f>250000-50000</f>
        <v>200000</v>
      </c>
      <c r="D924" s="211">
        <v>250000</v>
      </c>
      <c r="F924" s="211">
        <v>250000</v>
      </c>
      <c r="G924" s="211">
        <v>246250</v>
      </c>
    </row>
    <row r="925" spans="1:8" x14ac:dyDescent="0.2">
      <c r="A925" s="210">
        <v>1751150812</v>
      </c>
      <c r="B925" s="210" t="s">
        <v>120</v>
      </c>
      <c r="C925" s="219">
        <v>110000</v>
      </c>
      <c r="D925" s="211">
        <v>110000</v>
      </c>
      <c r="F925" s="211">
        <v>110000</v>
      </c>
      <c r="G925" s="211">
        <v>110000</v>
      </c>
    </row>
    <row r="926" spans="1:8" x14ac:dyDescent="0.2">
      <c r="A926" s="210">
        <v>1751160780</v>
      </c>
      <c r="B926" s="210" t="s">
        <v>1333</v>
      </c>
      <c r="C926" s="219">
        <v>250000</v>
      </c>
      <c r="D926" s="211">
        <v>250000</v>
      </c>
      <c r="E926" s="211">
        <v>207936.21</v>
      </c>
      <c r="F926" s="211">
        <v>149890</v>
      </c>
      <c r="G926" s="211">
        <v>148770</v>
      </c>
      <c r="H926" s="211">
        <v>97586</v>
      </c>
    </row>
    <row r="927" spans="1:8" x14ac:dyDescent="0.2">
      <c r="A927" s="210">
        <v>1751160781</v>
      </c>
      <c r="B927" s="217" t="s">
        <v>1647</v>
      </c>
      <c r="C927" s="219">
        <f>160000-50000</f>
        <v>110000</v>
      </c>
      <c r="D927" s="211">
        <v>160000</v>
      </c>
      <c r="E927" s="211">
        <v>145347.54</v>
      </c>
    </row>
    <row r="928" spans="1:8" x14ac:dyDescent="0.2">
      <c r="A928" s="210">
        <v>1751160782</v>
      </c>
      <c r="B928" s="217" t="s">
        <v>1644</v>
      </c>
      <c r="C928" s="219">
        <v>50000</v>
      </c>
    </row>
    <row r="929" spans="1:8" x14ac:dyDescent="0.2">
      <c r="A929" s="210">
        <v>1752001731</v>
      </c>
      <c r="B929" s="210" t="s">
        <v>148</v>
      </c>
      <c r="C929" s="219">
        <v>1647</v>
      </c>
      <c r="E929" s="211">
        <v>602</v>
      </c>
    </row>
    <row r="930" spans="1:8" x14ac:dyDescent="0.2">
      <c r="A930" s="210">
        <v>1752100810</v>
      </c>
      <c r="B930" s="210" t="s">
        <v>783</v>
      </c>
      <c r="C930" s="219">
        <v>80000</v>
      </c>
      <c r="D930" s="211">
        <v>75000</v>
      </c>
      <c r="E930" s="211">
        <v>83630</v>
      </c>
      <c r="F930" s="211">
        <v>81583</v>
      </c>
      <c r="G930" s="211">
        <v>60036</v>
      </c>
      <c r="H930" s="211">
        <v>79974</v>
      </c>
    </row>
    <row r="931" spans="1:8" x14ac:dyDescent="0.2">
      <c r="A931" s="210">
        <v>1760000399</v>
      </c>
      <c r="B931" s="210" t="s">
        <v>24</v>
      </c>
      <c r="C931" s="219"/>
    </row>
    <row r="932" spans="1:8" x14ac:dyDescent="0.2">
      <c r="A932" s="210">
        <v>1760000811</v>
      </c>
      <c r="B932" s="210" t="s">
        <v>149</v>
      </c>
      <c r="C932" s="219"/>
    </row>
    <row r="933" spans="1:8" x14ac:dyDescent="0.2">
      <c r="A933" s="210">
        <v>1760000910</v>
      </c>
      <c r="B933" s="210" t="s">
        <v>704</v>
      </c>
      <c r="C933" s="219"/>
    </row>
    <row r="934" spans="1:8" x14ac:dyDescent="0.2">
      <c r="A934" s="210">
        <v>1760000981</v>
      </c>
      <c r="B934" s="210" t="s">
        <v>74</v>
      </c>
      <c r="C934" s="219"/>
      <c r="G934" s="211">
        <v>35</v>
      </c>
    </row>
    <row r="935" spans="1:8" x14ac:dyDescent="0.2">
      <c r="A935" s="210">
        <v>1761000110</v>
      </c>
      <c r="B935" s="210" t="s">
        <v>532</v>
      </c>
      <c r="C935" s="219">
        <f>404810+14844</f>
        <v>419654</v>
      </c>
      <c r="D935" s="211">
        <v>338488</v>
      </c>
      <c r="E935" s="211">
        <v>260678.79</v>
      </c>
      <c r="F935" s="211">
        <v>322258.75</v>
      </c>
      <c r="G935" s="211">
        <v>263261.63</v>
      </c>
      <c r="H935" s="211">
        <v>260112.9</v>
      </c>
    </row>
    <row r="936" spans="1:8" x14ac:dyDescent="0.2">
      <c r="A936" s="210">
        <v>1761000210</v>
      </c>
      <c r="B936" s="210" t="s">
        <v>250</v>
      </c>
      <c r="C936" s="219">
        <v>0</v>
      </c>
      <c r="D936" s="211">
        <v>45880</v>
      </c>
      <c r="E936" s="211">
        <v>40233.75</v>
      </c>
      <c r="F936" s="211">
        <v>51580.92</v>
      </c>
      <c r="G936" s="211">
        <v>2824.01</v>
      </c>
    </row>
    <row r="937" spans="1:8" x14ac:dyDescent="0.2">
      <c r="A937" s="210">
        <v>1761000420</v>
      </c>
      <c r="B937" s="210" t="s">
        <v>784</v>
      </c>
      <c r="C937" s="219">
        <v>19000</v>
      </c>
      <c r="D937" s="211">
        <v>22000</v>
      </c>
      <c r="E937" s="211">
        <v>14686.03</v>
      </c>
      <c r="F937" s="211">
        <v>24097.67</v>
      </c>
      <c r="G937" s="211">
        <v>19959.55</v>
      </c>
      <c r="H937" s="211">
        <v>22819.26</v>
      </c>
    </row>
    <row r="938" spans="1:8" x14ac:dyDescent="0.2">
      <c r="A938" s="210">
        <v>1761000430</v>
      </c>
      <c r="B938" s="210" t="s">
        <v>150</v>
      </c>
      <c r="C938" s="219"/>
      <c r="H938" s="211">
        <v>409.1</v>
      </c>
    </row>
    <row r="939" spans="1:8" x14ac:dyDescent="0.2">
      <c r="A939" s="210">
        <v>1761000470</v>
      </c>
      <c r="B939" s="210" t="s">
        <v>785</v>
      </c>
      <c r="C939" s="219">
        <f>2500-94*12</f>
        <v>1372</v>
      </c>
      <c r="D939" s="211">
        <v>3000</v>
      </c>
      <c r="E939" s="211">
        <v>1535.61</v>
      </c>
      <c r="F939" s="211">
        <v>2555.23</v>
      </c>
      <c r="G939" s="211">
        <v>3430.88</v>
      </c>
      <c r="H939" s="211">
        <v>1623.15</v>
      </c>
    </row>
    <row r="940" spans="1:8" x14ac:dyDescent="0.2">
      <c r="A940" s="210">
        <v>1761000540</v>
      </c>
      <c r="B940" s="210" t="s">
        <v>786</v>
      </c>
      <c r="C940" s="219">
        <f>1000*12+188*12+1825*12</f>
        <v>36156</v>
      </c>
      <c r="D940" s="211">
        <v>44400</v>
      </c>
      <c r="E940" s="211">
        <v>14194.61</v>
      </c>
      <c r="F940" s="211">
        <v>26510.61</v>
      </c>
      <c r="G940" s="211">
        <v>7593.94</v>
      </c>
      <c r="H940" s="211">
        <v>5329.86</v>
      </c>
    </row>
    <row r="941" spans="1:8" x14ac:dyDescent="0.2">
      <c r="A941" s="210">
        <v>1761000581</v>
      </c>
      <c r="B941" s="276" t="s">
        <v>1688</v>
      </c>
      <c r="C941" s="219">
        <f>94*12</f>
        <v>1128</v>
      </c>
    </row>
    <row r="942" spans="1:8" x14ac:dyDescent="0.2">
      <c r="A942" s="210">
        <v>1761000731</v>
      </c>
      <c r="B942" s="210" t="s">
        <v>121</v>
      </c>
      <c r="C942" s="219"/>
      <c r="F942" s="211">
        <v>2899</v>
      </c>
      <c r="G942" s="211">
        <v>1809.13</v>
      </c>
      <c r="H942" s="211">
        <v>21443.66</v>
      </c>
    </row>
    <row r="943" spans="1:8" x14ac:dyDescent="0.2">
      <c r="A943" s="210">
        <v>1761000930</v>
      </c>
      <c r="B943" s="210" t="s">
        <v>788</v>
      </c>
      <c r="C943" s="219">
        <v>2000</v>
      </c>
      <c r="D943" s="211">
        <v>2000</v>
      </c>
      <c r="E943" s="211">
        <v>1749</v>
      </c>
      <c r="F943" s="211">
        <v>3191.51</v>
      </c>
      <c r="G943" s="211">
        <v>3485.5</v>
      </c>
      <c r="H943" s="211">
        <v>3100</v>
      </c>
    </row>
    <row r="944" spans="1:8" x14ac:dyDescent="0.2">
      <c r="A944" s="210">
        <v>1761001731</v>
      </c>
      <c r="B944" s="210" t="s">
        <v>151</v>
      </c>
      <c r="C944" s="219"/>
    </row>
    <row r="945" spans="1:8" x14ac:dyDescent="0.2">
      <c r="A945" s="210">
        <v>1761100430</v>
      </c>
      <c r="B945" s="210" t="s">
        <v>789</v>
      </c>
      <c r="C945" s="219"/>
    </row>
    <row r="946" spans="1:8" x14ac:dyDescent="0.2">
      <c r="A946" s="210">
        <v>1764000110</v>
      </c>
      <c r="B946" s="210" t="s">
        <v>523</v>
      </c>
      <c r="C946" s="219">
        <v>85956</v>
      </c>
      <c r="D946" s="211">
        <v>80204</v>
      </c>
      <c r="E946" s="211">
        <v>61990.34</v>
      </c>
      <c r="F946" s="211">
        <v>79622.850000000006</v>
      </c>
      <c r="G946" s="211">
        <v>74481.039999999994</v>
      </c>
      <c r="H946" s="211">
        <v>134956.49</v>
      </c>
    </row>
    <row r="947" spans="1:8" x14ac:dyDescent="0.2">
      <c r="A947" s="210">
        <v>1764000210</v>
      </c>
      <c r="B947" s="210" t="s">
        <v>919</v>
      </c>
      <c r="C947" s="219"/>
    </row>
    <row r="948" spans="1:8" x14ac:dyDescent="0.2">
      <c r="A948" s="210">
        <v>1764000511</v>
      </c>
      <c r="B948" s="210" t="s">
        <v>790</v>
      </c>
      <c r="C948" s="219"/>
    </row>
    <row r="949" spans="1:8" x14ac:dyDescent="0.2">
      <c r="A949" s="210">
        <v>1764000560</v>
      </c>
      <c r="B949" s="210" t="s">
        <v>664</v>
      </c>
      <c r="C949" s="219"/>
    </row>
    <row r="950" spans="1:8" x14ac:dyDescent="0.2">
      <c r="A950" s="210">
        <v>1764000731</v>
      </c>
      <c r="B950" s="210" t="s">
        <v>122</v>
      </c>
      <c r="C950" s="219"/>
      <c r="G950" s="211">
        <v>66.08</v>
      </c>
      <c r="H950" s="211">
        <v>31485.54</v>
      </c>
    </row>
    <row r="951" spans="1:8" x14ac:dyDescent="0.2">
      <c r="A951" s="210">
        <v>1764000760</v>
      </c>
      <c r="B951" s="210" t="s">
        <v>552</v>
      </c>
      <c r="C951" s="219"/>
    </row>
    <row r="952" spans="1:8" x14ac:dyDescent="0.2">
      <c r="A952" s="210">
        <v>1764000780</v>
      </c>
      <c r="B952" s="210" t="s">
        <v>580</v>
      </c>
      <c r="C952" s="219"/>
    </row>
    <row r="953" spans="1:8" x14ac:dyDescent="0.2">
      <c r="A953" s="210">
        <v>1764000781</v>
      </c>
      <c r="B953" s="210" t="s">
        <v>792</v>
      </c>
      <c r="C953" s="219"/>
      <c r="H953" s="211">
        <v>53187</v>
      </c>
    </row>
    <row r="954" spans="1:8" x14ac:dyDescent="0.2">
      <c r="A954" s="210">
        <v>1764000783</v>
      </c>
      <c r="B954" s="210" t="s">
        <v>1462</v>
      </c>
      <c r="C954" s="219">
        <f>150000-25000</f>
        <v>125000</v>
      </c>
      <c r="D954" s="211">
        <v>75000</v>
      </c>
    </row>
    <row r="955" spans="1:8" x14ac:dyDescent="0.2">
      <c r="A955" s="210">
        <v>1764000784</v>
      </c>
      <c r="B955" s="210" t="s">
        <v>1120</v>
      </c>
      <c r="C955" s="219"/>
    </row>
    <row r="956" spans="1:8" x14ac:dyDescent="0.2">
      <c r="A956" s="210">
        <v>1764000810</v>
      </c>
      <c r="B956" s="210" t="s">
        <v>793</v>
      </c>
      <c r="C956" s="219"/>
    </row>
    <row r="957" spans="1:8" x14ac:dyDescent="0.2">
      <c r="A957" s="210">
        <v>1764100781</v>
      </c>
      <c r="B957" s="210" t="s">
        <v>580</v>
      </c>
      <c r="C957" s="219"/>
    </row>
    <row r="958" spans="1:8" x14ac:dyDescent="0.2">
      <c r="A958" s="210">
        <v>1765000810</v>
      </c>
      <c r="B958" s="210" t="s">
        <v>794</v>
      </c>
      <c r="C958" s="219"/>
    </row>
    <row r="959" spans="1:8" x14ac:dyDescent="0.2">
      <c r="A959" s="210">
        <v>1765000811</v>
      </c>
      <c r="B959" s="210" t="s">
        <v>795</v>
      </c>
      <c r="C959" s="219"/>
    </row>
    <row r="960" spans="1:8" x14ac:dyDescent="0.2">
      <c r="A960" s="210">
        <v>1765100810</v>
      </c>
      <c r="B960" s="210" t="s">
        <v>796</v>
      </c>
      <c r="C960" s="219">
        <v>123800</v>
      </c>
      <c r="D960" s="211">
        <v>123800</v>
      </c>
      <c r="E960" s="211">
        <v>123800</v>
      </c>
      <c r="F960" s="211">
        <v>122800</v>
      </c>
      <c r="G960" s="211">
        <v>120000</v>
      </c>
      <c r="H960" s="211">
        <v>120000</v>
      </c>
    </row>
    <row r="961" spans="1:8" x14ac:dyDescent="0.2">
      <c r="A961" s="210">
        <v>1766000810</v>
      </c>
      <c r="B961" s="210" t="s">
        <v>797</v>
      </c>
      <c r="C961" s="219">
        <f>550000+40000</f>
        <v>590000</v>
      </c>
      <c r="D961" s="211">
        <v>648000</v>
      </c>
      <c r="E961" s="211">
        <v>35000</v>
      </c>
      <c r="F961" s="211">
        <v>652449</v>
      </c>
      <c r="G961" s="211">
        <v>540000</v>
      </c>
      <c r="H961" s="211">
        <v>540000</v>
      </c>
    </row>
    <row r="962" spans="1:8" x14ac:dyDescent="0.2">
      <c r="A962" s="210">
        <v>1767000440</v>
      </c>
      <c r="B962" s="210" t="s">
        <v>558</v>
      </c>
      <c r="C962" s="219">
        <f>215210+121500+1000000+17949</f>
        <v>1354659</v>
      </c>
      <c r="D962" s="211">
        <v>1368400</v>
      </c>
      <c r="E962" s="211">
        <v>1034210.34</v>
      </c>
      <c r="F962" s="211">
        <v>1596970.5</v>
      </c>
      <c r="G962" s="211">
        <v>1332876.3899999999</v>
      </c>
      <c r="H962" s="211">
        <v>1856247.14</v>
      </c>
    </row>
    <row r="963" spans="1:8" x14ac:dyDescent="0.2">
      <c r="A963" s="210">
        <v>1767000584</v>
      </c>
      <c r="B963" s="210" t="s">
        <v>798</v>
      </c>
      <c r="C963" s="219"/>
    </row>
    <row r="964" spans="1:8" x14ac:dyDescent="0.2">
      <c r="A964" s="210">
        <v>1767000810</v>
      </c>
      <c r="B964" s="210" t="s">
        <v>132</v>
      </c>
      <c r="C964" s="219"/>
      <c r="G964" s="211">
        <v>2737000</v>
      </c>
    </row>
    <row r="965" spans="1:8" x14ac:dyDescent="0.2">
      <c r="A965" s="210">
        <v>1769000550</v>
      </c>
      <c r="B965" s="210" t="s">
        <v>799</v>
      </c>
      <c r="C965" s="219"/>
    </row>
    <row r="966" spans="1:8" x14ac:dyDescent="0.2">
      <c r="A966" s="210">
        <v>1769000780</v>
      </c>
      <c r="B966" s="210" t="s">
        <v>800</v>
      </c>
      <c r="C966" s="219"/>
      <c r="F966" s="211">
        <v>64908.99</v>
      </c>
      <c r="G966" s="211">
        <v>30725.02</v>
      </c>
      <c r="H966" s="211">
        <v>104200.01</v>
      </c>
    </row>
    <row r="967" spans="1:8" x14ac:dyDescent="0.2">
      <c r="A967" s="210">
        <v>1769000781</v>
      </c>
      <c r="B967" s="210" t="s">
        <v>265</v>
      </c>
      <c r="C967" s="219">
        <v>27000</v>
      </c>
      <c r="D967" s="211">
        <v>27000</v>
      </c>
      <c r="E967" s="211">
        <v>17995</v>
      </c>
      <c r="F967" s="211">
        <v>27340</v>
      </c>
      <c r="G967" s="211">
        <v>25570</v>
      </c>
    </row>
    <row r="968" spans="1:8" x14ac:dyDescent="0.2">
      <c r="A968" s="210">
        <v>1769000785</v>
      </c>
      <c r="B968" s="210" t="s">
        <v>801</v>
      </c>
      <c r="C968" s="220">
        <f>100000</f>
        <v>100000</v>
      </c>
      <c r="D968" s="211">
        <v>147000</v>
      </c>
      <c r="E968" s="211">
        <v>147088</v>
      </c>
      <c r="G968" s="211">
        <v>100000</v>
      </c>
      <c r="H968" s="211">
        <v>162000</v>
      </c>
    </row>
    <row r="969" spans="1:8" x14ac:dyDescent="0.2">
      <c r="A969" s="210">
        <v>1769000810</v>
      </c>
      <c r="B969" s="210" t="s">
        <v>1552</v>
      </c>
      <c r="C969" s="219">
        <v>64000</v>
      </c>
      <c r="D969" s="211">
        <v>64000</v>
      </c>
      <c r="E969" s="211">
        <v>64000</v>
      </c>
      <c r="F969" s="211">
        <v>36000</v>
      </c>
    </row>
    <row r="970" spans="1:8" x14ac:dyDescent="0.2">
      <c r="A970" s="210">
        <v>1772000110</v>
      </c>
      <c r="B970" s="210" t="s">
        <v>919</v>
      </c>
      <c r="C970" s="219"/>
    </row>
    <row r="971" spans="1:8" x14ac:dyDescent="0.2">
      <c r="A971" s="210">
        <v>1772000430</v>
      </c>
      <c r="B971" s="276" t="s">
        <v>1690</v>
      </c>
      <c r="C971" s="219">
        <f>150*6</f>
        <v>900</v>
      </c>
    </row>
    <row r="972" spans="1:8" x14ac:dyDescent="0.2">
      <c r="A972" s="210">
        <v>1772000511</v>
      </c>
      <c r="B972" s="210" t="s">
        <v>802</v>
      </c>
      <c r="C972" s="219"/>
    </row>
    <row r="973" spans="1:8" x14ac:dyDescent="0.2">
      <c r="A973" s="210">
        <v>1772000550</v>
      </c>
      <c r="B973" s="210" t="s">
        <v>1242</v>
      </c>
      <c r="C973" s="219">
        <v>260000</v>
      </c>
      <c r="D973" s="211">
        <v>261753</v>
      </c>
      <c r="E973" s="211">
        <v>160942</v>
      </c>
      <c r="F973" s="211">
        <v>162415</v>
      </c>
      <c r="G973" s="211">
        <v>545865.65</v>
      </c>
      <c r="H973" s="211">
        <v>616048.80000000005</v>
      </c>
    </row>
    <row r="974" spans="1:8" x14ac:dyDescent="0.2">
      <c r="A974" s="210">
        <v>1772000561</v>
      </c>
      <c r="B974" s="210" t="s">
        <v>664</v>
      </c>
      <c r="C974" s="219">
        <f>55*12+70*12+500-55*12-70*12</f>
        <v>500</v>
      </c>
      <c r="D974" s="211">
        <v>2000</v>
      </c>
      <c r="E974" s="211">
        <v>1169.8800000000001</v>
      </c>
      <c r="F974" s="211">
        <v>3364.39</v>
      </c>
      <c r="G974" s="211">
        <v>2230.42</v>
      </c>
      <c r="H974" s="211">
        <v>1587.43</v>
      </c>
    </row>
    <row r="975" spans="1:8" x14ac:dyDescent="0.2">
      <c r="A975" s="210">
        <v>1772000581</v>
      </c>
      <c r="B975" s="276" t="s">
        <v>1689</v>
      </c>
      <c r="C975" s="219">
        <f>55*12+70*12</f>
        <v>1500</v>
      </c>
    </row>
    <row r="976" spans="1:8" x14ac:dyDescent="0.2">
      <c r="A976" s="210">
        <v>1772000731</v>
      </c>
      <c r="B976" s="210" t="s">
        <v>1618</v>
      </c>
      <c r="C976" s="219">
        <v>95224</v>
      </c>
      <c r="D976" s="211">
        <v>93000</v>
      </c>
      <c r="E976" s="211">
        <v>67683.240000000005</v>
      </c>
      <c r="F976" s="211">
        <v>8390.98</v>
      </c>
      <c r="G976" s="211">
        <v>38738.53</v>
      </c>
      <c r="H976" s="211">
        <v>71949.429999999993</v>
      </c>
    </row>
    <row r="977" spans="1:8" x14ac:dyDescent="0.2">
      <c r="A977" s="210">
        <v>1772000750</v>
      </c>
      <c r="B977" s="210" t="s">
        <v>714</v>
      </c>
      <c r="C977" s="219">
        <f>100000-150*6</f>
        <v>99100</v>
      </c>
      <c r="D977" s="211">
        <v>6563.8</v>
      </c>
      <c r="E977" s="211">
        <v>6767.66</v>
      </c>
      <c r="F977" s="211">
        <v>107791.84</v>
      </c>
      <c r="G977" s="211">
        <v>105785.86</v>
      </c>
      <c r="H977" s="211">
        <v>109051.96</v>
      </c>
    </row>
    <row r="978" spans="1:8" x14ac:dyDescent="0.2">
      <c r="A978" s="210">
        <v>1772000760</v>
      </c>
      <c r="B978" s="210" t="s">
        <v>552</v>
      </c>
      <c r="C978" s="219"/>
    </row>
    <row r="979" spans="1:8" x14ac:dyDescent="0.2">
      <c r="A979" s="210">
        <v>1772000780</v>
      </c>
      <c r="B979" s="210" t="s">
        <v>580</v>
      </c>
      <c r="C979" s="219">
        <f>5000+2000</f>
        <v>7000</v>
      </c>
      <c r="D979" s="211">
        <v>7000</v>
      </c>
      <c r="E979" s="211">
        <v>7711.92</v>
      </c>
      <c r="F979" s="211">
        <v>10011.31</v>
      </c>
      <c r="G979" s="211">
        <v>32391.37</v>
      </c>
      <c r="H979" s="211">
        <v>10755</v>
      </c>
    </row>
    <row r="980" spans="1:8" x14ac:dyDescent="0.2">
      <c r="A980" s="210">
        <v>1772000810</v>
      </c>
      <c r="B980" s="210" t="s">
        <v>152</v>
      </c>
      <c r="C980" s="219"/>
    </row>
    <row r="981" spans="1:8" x14ac:dyDescent="0.2">
      <c r="A981" s="210">
        <v>1772000910</v>
      </c>
      <c r="B981" s="210" t="s">
        <v>804</v>
      </c>
      <c r="C981" s="219">
        <f>120000-30000</f>
        <v>90000</v>
      </c>
      <c r="D981" s="211">
        <v>100183.2</v>
      </c>
      <c r="E981" s="211">
        <v>100183.2</v>
      </c>
      <c r="F981" s="211">
        <v>7746</v>
      </c>
    </row>
    <row r="982" spans="1:8" x14ac:dyDescent="0.2">
      <c r="A982" s="210">
        <v>1780000399</v>
      </c>
      <c r="B982" s="210" t="s">
        <v>24</v>
      </c>
      <c r="C982" s="219"/>
    </row>
    <row r="983" spans="1:8" x14ac:dyDescent="0.2">
      <c r="A983" s="210">
        <v>1780000981</v>
      </c>
      <c r="B983" s="210" t="s">
        <v>74</v>
      </c>
      <c r="C983" s="219"/>
    </row>
    <row r="984" spans="1:8" x14ac:dyDescent="0.2">
      <c r="A984" s="210">
        <v>1781000110</v>
      </c>
      <c r="B984" s="210" t="s">
        <v>523</v>
      </c>
      <c r="C984" s="219">
        <v>935413</v>
      </c>
      <c r="D984" s="211">
        <v>1489442</v>
      </c>
      <c r="E984" s="211">
        <v>1025130.92</v>
      </c>
      <c r="F984" s="211">
        <v>1761291.66</v>
      </c>
      <c r="G984" s="211">
        <v>2013747.29</v>
      </c>
      <c r="H984" s="211">
        <v>2050518.82</v>
      </c>
    </row>
    <row r="985" spans="1:8" x14ac:dyDescent="0.2">
      <c r="A985" s="210">
        <v>1781000210</v>
      </c>
      <c r="B985" s="210" t="s">
        <v>533</v>
      </c>
      <c r="C985" s="219"/>
      <c r="F985" s="211">
        <v>99883.24</v>
      </c>
      <c r="G985" s="211">
        <v>324968.96000000002</v>
      </c>
      <c r="H985" s="211">
        <v>261741.01</v>
      </c>
    </row>
    <row r="986" spans="1:8" x14ac:dyDescent="0.2">
      <c r="A986" s="210">
        <v>1781000422</v>
      </c>
      <c r="B986" s="210" t="s">
        <v>805</v>
      </c>
      <c r="C986" s="219"/>
    </row>
    <row r="987" spans="1:8" x14ac:dyDescent="0.2">
      <c r="A987" s="210">
        <v>1781000440</v>
      </c>
      <c r="B987" s="210" t="s">
        <v>558</v>
      </c>
      <c r="C987" s="219"/>
      <c r="G987" s="211">
        <v>-333.34</v>
      </c>
      <c r="H987" s="211">
        <v>2502.5</v>
      </c>
    </row>
    <row r="988" spans="1:8" x14ac:dyDescent="0.2">
      <c r="A988" s="210">
        <v>1781000511</v>
      </c>
      <c r="B988" s="210" t="s">
        <v>153</v>
      </c>
      <c r="C988" s="219"/>
    </row>
    <row r="989" spans="1:8" x14ac:dyDescent="0.2">
      <c r="A989" s="210">
        <v>1781000521</v>
      </c>
      <c r="B989" s="210" t="s">
        <v>806</v>
      </c>
      <c r="C989" s="219"/>
      <c r="G989" s="211">
        <v>1000</v>
      </c>
      <c r="H989" s="211">
        <v>9223.1299999999992</v>
      </c>
    </row>
    <row r="990" spans="1:8" x14ac:dyDescent="0.2">
      <c r="A990" s="210">
        <v>1781000560</v>
      </c>
      <c r="B990" s="210" t="s">
        <v>807</v>
      </c>
      <c r="C990" s="219">
        <f>1250+270*12-270*12</f>
        <v>1250</v>
      </c>
      <c r="D990" s="211">
        <v>3400</v>
      </c>
      <c r="E990" s="211">
        <v>2978.92</v>
      </c>
      <c r="F990" s="211">
        <v>5552.82</v>
      </c>
      <c r="G990" s="211">
        <v>7460.98</v>
      </c>
      <c r="H990" s="211">
        <v>5784.76</v>
      </c>
    </row>
    <row r="991" spans="1:8" x14ac:dyDescent="0.2">
      <c r="A991" s="210">
        <v>1781000570</v>
      </c>
      <c r="B991" s="210" t="s">
        <v>808</v>
      </c>
      <c r="C991" s="219">
        <f>13068*12</f>
        <v>156816</v>
      </c>
      <c r="D991" s="211">
        <v>48000</v>
      </c>
      <c r="E991" s="211">
        <v>55904.06</v>
      </c>
      <c r="F991" s="211">
        <v>52083.040000000001</v>
      </c>
      <c r="G991" s="211">
        <v>33944.769999999997</v>
      </c>
      <c r="H991" s="211">
        <v>57054.52</v>
      </c>
    </row>
    <row r="992" spans="1:8" x14ac:dyDescent="0.2">
      <c r="A992" s="210">
        <v>1781000580</v>
      </c>
      <c r="B992" s="210" t="s">
        <v>154</v>
      </c>
      <c r="C992" s="219"/>
    </row>
    <row r="993" spans="1:8" x14ac:dyDescent="0.2">
      <c r="A993" s="210">
        <v>1781000581</v>
      </c>
      <c r="B993" s="276" t="s">
        <v>1691</v>
      </c>
      <c r="C993" s="219">
        <f>270*12</f>
        <v>3240</v>
      </c>
    </row>
    <row r="994" spans="1:8" x14ac:dyDescent="0.2">
      <c r="A994" s="210">
        <v>1781000750</v>
      </c>
      <c r="B994" s="210" t="s">
        <v>714</v>
      </c>
      <c r="C994" s="219"/>
      <c r="F994" s="211">
        <v>28831.98</v>
      </c>
      <c r="G994" s="211">
        <v>31322.69</v>
      </c>
      <c r="H994" s="211">
        <v>118927</v>
      </c>
    </row>
    <row r="995" spans="1:8" x14ac:dyDescent="0.2">
      <c r="A995" s="210">
        <v>1781000751</v>
      </c>
      <c r="B995" s="210" t="s">
        <v>691</v>
      </c>
      <c r="C995" s="219"/>
    </row>
    <row r="996" spans="1:8" x14ac:dyDescent="0.2">
      <c r="A996" s="210">
        <v>1781000752</v>
      </c>
      <c r="B996" s="210" t="s">
        <v>259</v>
      </c>
      <c r="C996" s="219">
        <v>80000</v>
      </c>
      <c r="D996" s="211">
        <v>80000</v>
      </c>
      <c r="E996" s="211">
        <v>29697.72</v>
      </c>
      <c r="F996" s="211">
        <v>90581.7</v>
      </c>
      <c r="G996" s="211">
        <v>89283.43</v>
      </c>
    </row>
    <row r="997" spans="1:8" x14ac:dyDescent="0.2">
      <c r="A997" s="210">
        <v>1781000753</v>
      </c>
      <c r="B997" s="215" t="s">
        <v>1640</v>
      </c>
      <c r="C997" s="219">
        <v>50000</v>
      </c>
    </row>
    <row r="998" spans="1:8" x14ac:dyDescent="0.2">
      <c r="A998" s="210">
        <v>1781000780</v>
      </c>
      <c r="B998" s="210" t="s">
        <v>580</v>
      </c>
      <c r="C998" s="219"/>
    </row>
    <row r="999" spans="1:8" x14ac:dyDescent="0.2">
      <c r="A999" s="210">
        <v>1781000910</v>
      </c>
      <c r="B999" s="210" t="s">
        <v>809</v>
      </c>
      <c r="C999" s="219">
        <f>1620000+100000</f>
        <v>1720000</v>
      </c>
    </row>
    <row r="1000" spans="1:8" x14ac:dyDescent="0.2">
      <c r="A1000" s="210">
        <v>1781000930</v>
      </c>
      <c r="B1000" s="210" t="s">
        <v>961</v>
      </c>
      <c r="C1000" s="219"/>
    </row>
    <row r="1001" spans="1:8" x14ac:dyDescent="0.2">
      <c r="A1001" s="210">
        <v>1781000980</v>
      </c>
      <c r="B1001" s="210" t="s">
        <v>580</v>
      </c>
      <c r="C1001" s="219"/>
    </row>
    <row r="1002" spans="1:8" x14ac:dyDescent="0.2">
      <c r="A1002" s="210">
        <v>1781001110</v>
      </c>
      <c r="B1002" s="210" t="s">
        <v>155</v>
      </c>
      <c r="C1002" s="219"/>
    </row>
    <row r="1003" spans="1:8" x14ac:dyDescent="0.2">
      <c r="A1003" s="210">
        <v>1781001731</v>
      </c>
      <c r="B1003" s="210" t="s">
        <v>156</v>
      </c>
      <c r="C1003" s="219"/>
    </row>
    <row r="1004" spans="1:8" x14ac:dyDescent="0.2">
      <c r="A1004" s="210">
        <v>1781002731</v>
      </c>
      <c r="B1004" s="210" t="s">
        <v>262</v>
      </c>
      <c r="C1004" s="219"/>
      <c r="G1004" s="211">
        <v>1411</v>
      </c>
      <c r="H1004" s="211">
        <v>33216.19</v>
      </c>
    </row>
    <row r="1005" spans="1:8" x14ac:dyDescent="0.2">
      <c r="A1005" s="210">
        <v>1781003731</v>
      </c>
      <c r="B1005" s="210" t="s">
        <v>811</v>
      </c>
      <c r="C1005" s="219">
        <v>1647</v>
      </c>
      <c r="D1005" s="211">
        <v>1200</v>
      </c>
      <c r="E1005" s="211">
        <v>702</v>
      </c>
      <c r="F1005" s="211">
        <v>1319</v>
      </c>
      <c r="G1005" s="211">
        <v>1078</v>
      </c>
      <c r="H1005" s="211">
        <v>1144</v>
      </c>
    </row>
    <row r="1006" spans="1:8" x14ac:dyDescent="0.2">
      <c r="A1006" s="210">
        <v>1781004731</v>
      </c>
      <c r="B1006" s="210" t="s">
        <v>123</v>
      </c>
      <c r="C1006" s="219">
        <v>1647</v>
      </c>
      <c r="D1006" s="211">
        <v>1500</v>
      </c>
      <c r="E1006" s="211">
        <v>635</v>
      </c>
      <c r="F1006" s="211">
        <v>1146</v>
      </c>
      <c r="G1006" s="211">
        <v>1146</v>
      </c>
      <c r="H1006" s="211">
        <v>2061.77</v>
      </c>
    </row>
    <row r="1007" spans="1:8" x14ac:dyDescent="0.2">
      <c r="A1007" s="210">
        <v>1781005731</v>
      </c>
      <c r="B1007" s="210" t="s">
        <v>124</v>
      </c>
      <c r="C1007" s="219">
        <v>1647</v>
      </c>
      <c r="D1007" s="211">
        <v>1500</v>
      </c>
      <c r="E1007" s="211">
        <v>602</v>
      </c>
      <c r="F1007" s="211">
        <v>1500</v>
      </c>
      <c r="G1007" s="211">
        <v>1203</v>
      </c>
    </row>
    <row r="1008" spans="1:8" x14ac:dyDescent="0.2">
      <c r="A1008" s="210">
        <v>1781006731</v>
      </c>
      <c r="B1008" s="210" t="s">
        <v>79</v>
      </c>
      <c r="C1008" s="219">
        <v>1647</v>
      </c>
      <c r="D1008" s="211">
        <v>1200</v>
      </c>
      <c r="E1008" s="211">
        <v>635</v>
      </c>
      <c r="F1008" s="211">
        <v>1358</v>
      </c>
      <c r="G1008" s="211">
        <v>996</v>
      </c>
    </row>
    <row r="1009" spans="1:8" x14ac:dyDescent="0.2">
      <c r="A1009" s="210">
        <v>1781007731</v>
      </c>
      <c r="B1009" s="210" t="s">
        <v>1619</v>
      </c>
      <c r="C1009" s="219">
        <v>1647</v>
      </c>
      <c r="E1009" s="211">
        <v>382</v>
      </c>
    </row>
    <row r="1010" spans="1:8" x14ac:dyDescent="0.2">
      <c r="A1010" s="210">
        <v>1781008731</v>
      </c>
      <c r="B1010" s="227" t="s">
        <v>1665</v>
      </c>
      <c r="C1010" s="219">
        <v>16000</v>
      </c>
    </row>
    <row r="1011" spans="1:8" x14ac:dyDescent="0.2">
      <c r="A1011" s="210">
        <v>1781100110</v>
      </c>
      <c r="B1011" s="210" t="s">
        <v>534</v>
      </c>
      <c r="C1011" s="219">
        <v>634121</v>
      </c>
      <c r="D1011" s="211">
        <v>614327</v>
      </c>
      <c r="E1011" s="211">
        <v>463365.9</v>
      </c>
      <c r="F1011" s="211">
        <v>1056025.4099999999</v>
      </c>
      <c r="G1011" s="211">
        <v>867918.97</v>
      </c>
      <c r="H1011" s="211">
        <v>835106.49</v>
      </c>
    </row>
    <row r="1012" spans="1:8" x14ac:dyDescent="0.2">
      <c r="A1012" s="210">
        <v>1781100442</v>
      </c>
      <c r="B1012" s="210" t="s">
        <v>812</v>
      </c>
      <c r="C1012" s="219">
        <v>2500</v>
      </c>
      <c r="D1012" s="211">
        <v>3000</v>
      </c>
      <c r="F1012" s="211">
        <v>3000</v>
      </c>
      <c r="G1012" s="211">
        <v>2850</v>
      </c>
      <c r="H1012" s="211">
        <v>1829</v>
      </c>
    </row>
    <row r="1013" spans="1:8" x14ac:dyDescent="0.2">
      <c r="A1013" s="210">
        <v>1781100511</v>
      </c>
      <c r="B1013" s="210" t="s">
        <v>813</v>
      </c>
      <c r="C1013" s="219">
        <v>2500</v>
      </c>
      <c r="D1013" s="211">
        <v>2500</v>
      </c>
      <c r="E1013" s="211">
        <v>2504</v>
      </c>
      <c r="G1013" s="211">
        <v>1763</v>
      </c>
    </row>
    <row r="1014" spans="1:8" x14ac:dyDescent="0.2">
      <c r="A1014" s="210">
        <v>1781100521</v>
      </c>
      <c r="B1014" s="210" t="s">
        <v>646</v>
      </c>
      <c r="C1014" s="219">
        <v>25000</v>
      </c>
      <c r="D1014" s="211">
        <v>25000</v>
      </c>
      <c r="E1014" s="211">
        <v>16640.400000000001</v>
      </c>
      <c r="F1014" s="211">
        <v>1884</v>
      </c>
      <c r="G1014" s="211">
        <v>17100</v>
      </c>
      <c r="H1014" s="211">
        <v>29325</v>
      </c>
    </row>
    <row r="1015" spans="1:8" x14ac:dyDescent="0.2">
      <c r="A1015" s="210">
        <v>1781100540</v>
      </c>
      <c r="B1015" s="210" t="s">
        <v>629</v>
      </c>
      <c r="C1015" s="219"/>
    </row>
    <row r="1016" spans="1:8" x14ac:dyDescent="0.2">
      <c r="A1016" s="210">
        <v>1781100570</v>
      </c>
      <c r="B1016" s="210" t="s">
        <v>814</v>
      </c>
      <c r="C1016" s="219"/>
    </row>
    <row r="1017" spans="1:8" x14ac:dyDescent="0.2">
      <c r="A1017" s="210">
        <v>1781100743</v>
      </c>
      <c r="B1017" s="210" t="s">
        <v>815</v>
      </c>
      <c r="C1017" s="219">
        <f>35000+17000</f>
        <v>52000</v>
      </c>
      <c r="D1017" s="211">
        <v>36800</v>
      </c>
      <c r="E1017" s="211">
        <v>17276</v>
      </c>
      <c r="F1017" s="211">
        <v>44557.36</v>
      </c>
      <c r="G1017" s="211">
        <v>37540</v>
      </c>
      <c r="H1017" s="211">
        <v>36477.199999999997</v>
      </c>
    </row>
    <row r="1018" spans="1:8" x14ac:dyDescent="0.2">
      <c r="A1018" s="210">
        <v>1781100750</v>
      </c>
      <c r="B1018" s="210" t="s">
        <v>816</v>
      </c>
      <c r="C1018" s="219">
        <f>400*26*1.17*12+570000</f>
        <v>716016</v>
      </c>
      <c r="D1018" s="211">
        <v>694440</v>
      </c>
      <c r="E1018" s="211">
        <v>365809</v>
      </c>
      <c r="F1018" s="211">
        <v>636710</v>
      </c>
      <c r="G1018" s="211">
        <v>533848.09</v>
      </c>
      <c r="H1018" s="211">
        <v>499202.24</v>
      </c>
    </row>
    <row r="1019" spans="1:8" x14ac:dyDescent="0.2">
      <c r="A1019" s="210">
        <v>1781100751</v>
      </c>
      <c r="B1019" s="210" t="s">
        <v>1496</v>
      </c>
      <c r="C1019" s="219">
        <f>1450*12</f>
        <v>17400</v>
      </c>
      <c r="D1019" s="211">
        <v>15000</v>
      </c>
      <c r="E1019" s="211">
        <v>8696.85</v>
      </c>
      <c r="F1019" s="211">
        <v>9568.14</v>
      </c>
    </row>
    <row r="1020" spans="1:8" x14ac:dyDescent="0.2">
      <c r="A1020" s="210">
        <v>1781100780</v>
      </c>
      <c r="B1020" s="210" t="s">
        <v>580</v>
      </c>
      <c r="C1020" s="219">
        <f>85000+10000+30000</f>
        <v>125000</v>
      </c>
      <c r="D1020" s="211">
        <v>102375</v>
      </c>
      <c r="E1020" s="211">
        <v>70594.83</v>
      </c>
      <c r="F1020" s="211">
        <v>85127.33</v>
      </c>
      <c r="G1020" s="211">
        <v>65770.960000000006</v>
      </c>
      <c r="H1020" s="211">
        <v>69536.429999999993</v>
      </c>
    </row>
    <row r="1021" spans="1:8" x14ac:dyDescent="0.2">
      <c r="A1021" s="210">
        <v>1781100930</v>
      </c>
      <c r="B1021" s="210" t="s">
        <v>739</v>
      </c>
      <c r="C1021" s="219">
        <v>8500</v>
      </c>
      <c r="D1021" s="211">
        <v>14000</v>
      </c>
      <c r="E1021" s="211">
        <v>1278.1099999999999</v>
      </c>
      <c r="F1021" s="211">
        <v>2706.35</v>
      </c>
      <c r="G1021" s="211">
        <v>2897.24</v>
      </c>
      <c r="H1021" s="211">
        <v>2665.2</v>
      </c>
    </row>
    <row r="1022" spans="1:8" x14ac:dyDescent="0.2">
      <c r="A1022" s="210">
        <v>1781200110</v>
      </c>
      <c r="B1022" s="215" t="s">
        <v>1634</v>
      </c>
      <c r="C1022" s="219">
        <v>1260763</v>
      </c>
    </row>
    <row r="1023" spans="1:8" x14ac:dyDescent="0.2">
      <c r="A1023" s="198">
        <v>1781200521</v>
      </c>
      <c r="B1023" s="214" t="s">
        <v>1637</v>
      </c>
      <c r="C1023" s="219">
        <v>39200</v>
      </c>
    </row>
    <row r="1024" spans="1:8" x14ac:dyDescent="0.2">
      <c r="A1024" s="198">
        <v>1781200530</v>
      </c>
      <c r="B1024" s="214" t="s">
        <v>1635</v>
      </c>
      <c r="C1024" s="219"/>
    </row>
    <row r="1025" spans="1:8" x14ac:dyDescent="0.2">
      <c r="A1025" s="198">
        <v>1781200531</v>
      </c>
      <c r="B1025" s="214" t="s">
        <v>1636</v>
      </c>
      <c r="C1025" s="219"/>
    </row>
    <row r="1026" spans="1:8" x14ac:dyDescent="0.2">
      <c r="A1026" s="198">
        <v>1781200743</v>
      </c>
      <c r="B1026" s="214" t="s">
        <v>1638</v>
      </c>
      <c r="C1026" s="219">
        <v>20000</v>
      </c>
    </row>
    <row r="1027" spans="1:8" x14ac:dyDescent="0.2">
      <c r="A1027" s="210">
        <v>1781365731</v>
      </c>
      <c r="B1027" s="210" t="s">
        <v>1495</v>
      </c>
      <c r="C1027" s="219"/>
      <c r="F1027" s="211">
        <v>1859</v>
      </c>
      <c r="G1027" s="211">
        <v>1817</v>
      </c>
      <c r="H1027" s="211">
        <v>52877.39</v>
      </c>
    </row>
    <row r="1028" spans="1:8" x14ac:dyDescent="0.2">
      <c r="A1028" s="210">
        <v>1781375731</v>
      </c>
      <c r="B1028" s="210" t="s">
        <v>80</v>
      </c>
      <c r="C1028" s="219">
        <v>21941</v>
      </c>
      <c r="D1028" s="211">
        <v>14000</v>
      </c>
      <c r="E1028" s="211">
        <v>7081.45</v>
      </c>
      <c r="F1028" s="211">
        <v>12125.1</v>
      </c>
      <c r="G1028" s="211">
        <v>13027.03</v>
      </c>
    </row>
    <row r="1029" spans="1:8" x14ac:dyDescent="0.2">
      <c r="A1029" s="210">
        <v>1781385731</v>
      </c>
      <c r="B1029" s="210" t="s">
        <v>81</v>
      </c>
      <c r="C1029" s="219">
        <v>17951</v>
      </c>
      <c r="D1029" s="211">
        <v>14000</v>
      </c>
      <c r="E1029" s="211">
        <v>4601.1000000000004</v>
      </c>
      <c r="F1029" s="211">
        <v>13420.12</v>
      </c>
      <c r="G1029" s="211">
        <v>13469.93</v>
      </c>
    </row>
    <row r="1030" spans="1:8" x14ac:dyDescent="0.2">
      <c r="A1030" s="210">
        <v>1810000399</v>
      </c>
      <c r="B1030" s="210" t="s">
        <v>24</v>
      </c>
      <c r="C1030" s="219"/>
    </row>
    <row r="1031" spans="1:8" x14ac:dyDescent="0.2">
      <c r="A1031" s="210">
        <v>1810000981</v>
      </c>
      <c r="B1031" s="210" t="s">
        <v>74</v>
      </c>
      <c r="C1031" s="219"/>
      <c r="G1031" s="211">
        <v>749.25</v>
      </c>
    </row>
    <row r="1032" spans="1:8" x14ac:dyDescent="0.2">
      <c r="A1032" s="210">
        <v>1811000110</v>
      </c>
      <c r="B1032" s="210" t="s">
        <v>523</v>
      </c>
      <c r="C1032" s="219">
        <v>2822778</v>
      </c>
      <c r="D1032" s="211">
        <v>2748491</v>
      </c>
      <c r="E1032" s="211">
        <v>2066771.81</v>
      </c>
      <c r="F1032" s="211">
        <v>2679779.25</v>
      </c>
      <c r="G1032" s="211">
        <v>2434529.2200000002</v>
      </c>
      <c r="H1032" s="211">
        <v>2015218.11</v>
      </c>
    </row>
    <row r="1033" spans="1:8" x14ac:dyDescent="0.2">
      <c r="A1033" s="210">
        <v>1811000399</v>
      </c>
      <c r="B1033" s="210" t="s">
        <v>157</v>
      </c>
      <c r="C1033" s="219"/>
    </row>
    <row r="1034" spans="1:8" x14ac:dyDescent="0.2">
      <c r="A1034" s="210">
        <v>1811000422</v>
      </c>
      <c r="B1034" s="210" t="s">
        <v>818</v>
      </c>
      <c r="C1034" s="219">
        <v>5000</v>
      </c>
      <c r="D1034" s="211">
        <v>5000</v>
      </c>
      <c r="E1034" s="211">
        <v>2688</v>
      </c>
      <c r="F1034" s="211">
        <v>4959</v>
      </c>
      <c r="G1034" s="211">
        <v>4900</v>
      </c>
      <c r="H1034" s="211">
        <v>5850</v>
      </c>
    </row>
    <row r="1035" spans="1:8" x14ac:dyDescent="0.2">
      <c r="A1035" s="210">
        <v>1811000440</v>
      </c>
      <c r="B1035" s="210" t="s">
        <v>558</v>
      </c>
      <c r="C1035" s="219">
        <v>636000</v>
      </c>
      <c r="D1035" s="211">
        <v>636000</v>
      </c>
      <c r="E1035" s="211">
        <v>464456.36</v>
      </c>
      <c r="F1035" s="211">
        <v>632799.56000000006</v>
      </c>
      <c r="G1035" s="211">
        <v>790235.25</v>
      </c>
      <c r="H1035" s="211">
        <v>532045.18000000005</v>
      </c>
    </row>
    <row r="1036" spans="1:8" x14ac:dyDescent="0.2">
      <c r="A1036" s="210">
        <v>1811000443</v>
      </c>
      <c r="B1036" s="210" t="s">
        <v>819</v>
      </c>
      <c r="C1036" s="219"/>
    </row>
    <row r="1037" spans="1:8" x14ac:dyDescent="0.2">
      <c r="A1037" s="210">
        <v>1811000470</v>
      </c>
      <c r="B1037" s="210" t="s">
        <v>820</v>
      </c>
      <c r="C1037" s="219">
        <v>12000</v>
      </c>
      <c r="D1037" s="211">
        <v>12717</v>
      </c>
      <c r="E1037" s="211">
        <v>8705.7099999999991</v>
      </c>
      <c r="F1037" s="211">
        <v>9016.34</v>
      </c>
      <c r="G1037" s="211">
        <v>13204.15</v>
      </c>
      <c r="H1037" s="211">
        <v>7334.59</v>
      </c>
    </row>
    <row r="1038" spans="1:8" x14ac:dyDescent="0.2">
      <c r="A1038" s="210">
        <v>1811000511</v>
      </c>
      <c r="B1038" s="210" t="s">
        <v>697</v>
      </c>
      <c r="C1038" s="219">
        <v>5000</v>
      </c>
      <c r="D1038" s="211">
        <v>5416</v>
      </c>
      <c r="E1038" s="211">
        <v>5415.65</v>
      </c>
      <c r="F1038" s="211">
        <v>1721.06</v>
      </c>
      <c r="G1038" s="211">
        <v>3016.4</v>
      </c>
      <c r="H1038" s="211">
        <v>2000</v>
      </c>
    </row>
    <row r="1039" spans="1:8" x14ac:dyDescent="0.2">
      <c r="A1039" s="210">
        <v>1811000512</v>
      </c>
      <c r="B1039" s="210" t="s">
        <v>821</v>
      </c>
      <c r="C1039" s="219"/>
      <c r="F1039" s="211">
        <v>1436</v>
      </c>
      <c r="G1039" s="211">
        <v>4549.5600000000004</v>
      </c>
      <c r="H1039" s="211">
        <v>1279.8599999999999</v>
      </c>
    </row>
    <row r="1040" spans="1:8" x14ac:dyDescent="0.2">
      <c r="A1040" s="210">
        <v>1811000530</v>
      </c>
      <c r="B1040" s="210" t="s">
        <v>125</v>
      </c>
      <c r="C1040" s="219">
        <v>63967</v>
      </c>
      <c r="D1040" s="211">
        <v>75000</v>
      </c>
      <c r="E1040" s="211">
        <v>44120.68</v>
      </c>
      <c r="F1040" s="211">
        <v>62031.74</v>
      </c>
      <c r="G1040" s="211">
        <v>66869.42</v>
      </c>
      <c r="H1040" s="211">
        <v>14500.85</v>
      </c>
    </row>
    <row r="1041" spans="1:8" x14ac:dyDescent="0.2">
      <c r="A1041" s="210">
        <v>1811000540</v>
      </c>
      <c r="B1041" s="210" t="s">
        <v>629</v>
      </c>
      <c r="C1041" s="219"/>
    </row>
    <row r="1042" spans="1:8" x14ac:dyDescent="0.2">
      <c r="A1042" s="210">
        <v>1811000550</v>
      </c>
      <c r="B1042" s="210" t="s">
        <v>822</v>
      </c>
      <c r="C1042" s="219">
        <v>1000</v>
      </c>
      <c r="D1042" s="211">
        <v>976</v>
      </c>
      <c r="E1042" s="211">
        <v>976</v>
      </c>
      <c r="F1042" s="211">
        <v>5595.69</v>
      </c>
      <c r="G1042" s="211">
        <v>5240</v>
      </c>
      <c r="H1042" s="211">
        <v>2177.2199999999998</v>
      </c>
    </row>
    <row r="1043" spans="1:8" x14ac:dyDescent="0.2">
      <c r="A1043" s="210">
        <v>1811000560</v>
      </c>
      <c r="B1043" s="210" t="s">
        <v>823</v>
      </c>
      <c r="C1043" s="219">
        <v>0</v>
      </c>
      <c r="D1043" s="211">
        <v>2691</v>
      </c>
      <c r="E1043" s="211">
        <v>2691</v>
      </c>
      <c r="F1043" s="211">
        <v>3096.64</v>
      </c>
      <c r="G1043" s="211">
        <v>2106.8000000000002</v>
      </c>
      <c r="H1043" s="211">
        <v>4185.91</v>
      </c>
    </row>
    <row r="1044" spans="1:8" x14ac:dyDescent="0.2">
      <c r="A1044" s="210">
        <v>1811000570</v>
      </c>
      <c r="B1044" s="210" t="s">
        <v>824</v>
      </c>
      <c r="C1044" s="219">
        <f>2713*12</f>
        <v>32556</v>
      </c>
      <c r="D1044" s="211">
        <v>60000</v>
      </c>
      <c r="E1044" s="211">
        <v>22714.59</v>
      </c>
      <c r="F1044" s="211">
        <v>56440.27</v>
      </c>
      <c r="G1044" s="211">
        <v>82680.679999999993</v>
      </c>
      <c r="H1044" s="211">
        <v>57739.51</v>
      </c>
    </row>
    <row r="1045" spans="1:8" x14ac:dyDescent="0.2">
      <c r="A1045" s="210">
        <v>1811000571</v>
      </c>
      <c r="B1045" s="210" t="s">
        <v>590</v>
      </c>
      <c r="C1045" s="219">
        <f>700*12</f>
        <v>8400</v>
      </c>
      <c r="D1045" s="211">
        <v>8400</v>
      </c>
      <c r="E1045" s="211">
        <v>4006.08</v>
      </c>
      <c r="F1045" s="211">
        <v>7935.82</v>
      </c>
      <c r="G1045" s="211">
        <v>6315.36</v>
      </c>
    </row>
    <row r="1046" spans="1:8" x14ac:dyDescent="0.2">
      <c r="A1046" s="210">
        <v>1811000580</v>
      </c>
      <c r="B1046" s="210" t="s">
        <v>825</v>
      </c>
      <c r="C1046" s="219">
        <v>13500</v>
      </c>
      <c r="D1046" s="211">
        <v>15000</v>
      </c>
      <c r="E1046" s="211">
        <v>10085.219999999999</v>
      </c>
      <c r="F1046" s="211">
        <v>14131.62</v>
      </c>
      <c r="G1046" s="211">
        <v>15656.7</v>
      </c>
      <c r="H1046" s="211">
        <v>17470.66</v>
      </c>
    </row>
    <row r="1047" spans="1:8" x14ac:dyDescent="0.2">
      <c r="A1047" s="210">
        <v>1811000720</v>
      </c>
      <c r="B1047" s="210" t="s">
        <v>826</v>
      </c>
      <c r="C1047" s="219"/>
      <c r="G1047" s="211">
        <v>1389</v>
      </c>
      <c r="H1047" s="211">
        <v>455.32</v>
      </c>
    </row>
    <row r="1048" spans="1:8" x14ac:dyDescent="0.2">
      <c r="A1048" s="210">
        <v>1811000780</v>
      </c>
      <c r="B1048" s="210" t="s">
        <v>580</v>
      </c>
      <c r="C1048" s="219">
        <v>7000</v>
      </c>
      <c r="D1048" s="211">
        <v>8200</v>
      </c>
      <c r="E1048" s="211">
        <v>597.70000000000005</v>
      </c>
      <c r="F1048" s="211">
        <v>5850</v>
      </c>
      <c r="G1048" s="211">
        <v>9794.2000000000007</v>
      </c>
      <c r="H1048" s="211">
        <v>2357.7399999999998</v>
      </c>
    </row>
    <row r="1049" spans="1:8" x14ac:dyDescent="0.2">
      <c r="A1049" s="210">
        <v>1811000910</v>
      </c>
      <c r="B1049" s="210" t="s">
        <v>827</v>
      </c>
      <c r="C1049" s="220">
        <v>0</v>
      </c>
      <c r="D1049" s="211">
        <v>49400</v>
      </c>
      <c r="F1049" s="211">
        <v>28754</v>
      </c>
      <c r="G1049" s="211">
        <v>28754</v>
      </c>
      <c r="H1049" s="211">
        <v>629846</v>
      </c>
    </row>
    <row r="1050" spans="1:8" x14ac:dyDescent="0.2">
      <c r="A1050" s="210">
        <v>1811001530</v>
      </c>
      <c r="B1050" s="210" t="s">
        <v>1620</v>
      </c>
      <c r="C1050" s="219">
        <v>63381</v>
      </c>
      <c r="E1050" s="211">
        <v>24273.96</v>
      </c>
    </row>
    <row r="1051" spans="1:8" x14ac:dyDescent="0.2">
      <c r="A1051" s="210">
        <v>1811001731</v>
      </c>
      <c r="B1051" s="210" t="s">
        <v>260</v>
      </c>
      <c r="C1051" s="219"/>
      <c r="G1051" s="211">
        <v>1503.79</v>
      </c>
      <c r="H1051" s="211">
        <v>10483.200000000001</v>
      </c>
    </row>
    <row r="1052" spans="1:8" x14ac:dyDescent="0.2">
      <c r="A1052" s="210">
        <v>1811002731</v>
      </c>
      <c r="B1052" s="210" t="s">
        <v>1452</v>
      </c>
      <c r="C1052" s="219">
        <v>12701</v>
      </c>
      <c r="E1052" s="211">
        <v>3029.36</v>
      </c>
      <c r="F1052" s="211">
        <v>5434.1</v>
      </c>
      <c r="G1052" s="211">
        <v>14492.25</v>
      </c>
    </row>
    <row r="1053" spans="1:8" x14ac:dyDescent="0.2">
      <c r="A1053" s="210">
        <v>1812000314</v>
      </c>
      <c r="B1053" s="210" t="s">
        <v>158</v>
      </c>
      <c r="C1053" s="219"/>
    </row>
    <row r="1054" spans="1:8" x14ac:dyDescent="0.2">
      <c r="A1054" s="210">
        <v>1812000399</v>
      </c>
      <c r="B1054" s="210" t="s">
        <v>159</v>
      </c>
      <c r="C1054" s="219"/>
    </row>
    <row r="1055" spans="1:8" x14ac:dyDescent="0.2">
      <c r="A1055" s="210">
        <v>1812200110</v>
      </c>
      <c r="B1055" s="210" t="s">
        <v>126</v>
      </c>
      <c r="C1055" s="219">
        <v>257081</v>
      </c>
      <c r="D1055" s="211">
        <v>229694</v>
      </c>
      <c r="E1055" s="211">
        <v>160360.03</v>
      </c>
      <c r="F1055" s="211">
        <v>200056.65</v>
      </c>
      <c r="G1055" s="211">
        <v>210031.79</v>
      </c>
      <c r="H1055" s="211">
        <v>201528.56</v>
      </c>
    </row>
    <row r="1056" spans="1:8" x14ac:dyDescent="0.2">
      <c r="A1056" s="210">
        <v>1812200210</v>
      </c>
      <c r="B1056" s="210" t="s">
        <v>920</v>
      </c>
      <c r="C1056" s="219">
        <v>0</v>
      </c>
      <c r="D1056" s="211">
        <v>67588</v>
      </c>
      <c r="E1056" s="211">
        <v>29239.49</v>
      </c>
      <c r="F1056" s="211">
        <v>66682.47</v>
      </c>
      <c r="G1056" s="211">
        <v>69080.52</v>
      </c>
      <c r="H1056" s="211">
        <v>69378.09</v>
      </c>
    </row>
    <row r="1057" spans="1:8" x14ac:dyDescent="0.2">
      <c r="A1057" s="210">
        <v>1812200430</v>
      </c>
      <c r="B1057" s="210" t="s">
        <v>956</v>
      </c>
      <c r="C1057" s="219">
        <v>419589</v>
      </c>
      <c r="D1057" s="211">
        <v>410055</v>
      </c>
      <c r="E1057" s="211">
        <v>188410.64</v>
      </c>
      <c r="F1057" s="211">
        <v>355828.19</v>
      </c>
      <c r="G1057" s="211">
        <v>388295.98</v>
      </c>
      <c r="H1057" s="211">
        <v>394813.06</v>
      </c>
    </row>
    <row r="1058" spans="1:8" x14ac:dyDescent="0.2">
      <c r="A1058" s="210">
        <v>1812200540</v>
      </c>
      <c r="B1058" s="210" t="s">
        <v>957</v>
      </c>
      <c r="C1058" s="219">
        <f>1500*12+102*12</f>
        <v>19224</v>
      </c>
      <c r="D1058" s="211">
        <v>40250</v>
      </c>
      <c r="E1058" s="211">
        <v>-2951.32</v>
      </c>
      <c r="F1058" s="211">
        <v>40502.42</v>
      </c>
      <c r="G1058" s="211">
        <v>39780.79</v>
      </c>
      <c r="H1058" s="211">
        <v>37444.19</v>
      </c>
    </row>
    <row r="1059" spans="1:8" x14ac:dyDescent="0.2">
      <c r="A1059" s="210">
        <v>1812200550</v>
      </c>
      <c r="B1059" s="210" t="s">
        <v>822</v>
      </c>
      <c r="C1059" s="219">
        <v>6000</v>
      </c>
      <c r="D1059" s="211">
        <v>6000</v>
      </c>
      <c r="E1059" s="211">
        <v>5500</v>
      </c>
      <c r="F1059" s="211">
        <v>2558</v>
      </c>
      <c r="G1059" s="211">
        <v>1294</v>
      </c>
      <c r="H1059" s="211">
        <v>2808</v>
      </c>
    </row>
    <row r="1060" spans="1:8" x14ac:dyDescent="0.2">
      <c r="A1060" s="210">
        <v>1812200720</v>
      </c>
      <c r="B1060" s="210" t="s">
        <v>958</v>
      </c>
      <c r="C1060" s="219">
        <v>100000</v>
      </c>
      <c r="D1060" s="211">
        <v>100000</v>
      </c>
      <c r="E1060" s="211">
        <v>92046.6</v>
      </c>
      <c r="F1060" s="211">
        <v>87692</v>
      </c>
      <c r="G1060" s="211">
        <v>114684.4</v>
      </c>
      <c r="H1060" s="211">
        <v>98752.15</v>
      </c>
    </row>
    <row r="1061" spans="1:8" x14ac:dyDescent="0.2">
      <c r="A1061" s="210">
        <v>1812200721</v>
      </c>
      <c r="B1061" s="210" t="s">
        <v>959</v>
      </c>
      <c r="C1061" s="219">
        <v>35000</v>
      </c>
      <c r="D1061" s="211">
        <v>35000</v>
      </c>
      <c r="E1061" s="211">
        <v>35790</v>
      </c>
      <c r="F1061" s="211">
        <v>21371</v>
      </c>
      <c r="G1061" s="211">
        <v>41350</v>
      </c>
      <c r="H1061" s="211">
        <v>38463</v>
      </c>
    </row>
    <row r="1062" spans="1:8" x14ac:dyDescent="0.2">
      <c r="A1062" s="210">
        <v>1812200750</v>
      </c>
      <c r="B1062" s="210" t="s">
        <v>956</v>
      </c>
      <c r="C1062" s="219">
        <v>100000</v>
      </c>
      <c r="D1062" s="211">
        <v>100000</v>
      </c>
      <c r="E1062" s="211">
        <v>65155</v>
      </c>
      <c r="F1062" s="211">
        <v>99999.06</v>
      </c>
      <c r="G1062" s="211">
        <v>99045</v>
      </c>
      <c r="H1062" s="211">
        <v>129843.53</v>
      </c>
    </row>
    <row r="1063" spans="1:8" x14ac:dyDescent="0.2">
      <c r="A1063" s="210">
        <v>1812200780</v>
      </c>
      <c r="B1063" s="210" t="s">
        <v>580</v>
      </c>
      <c r="C1063" s="219">
        <v>175000</v>
      </c>
      <c r="D1063" s="211">
        <v>175000</v>
      </c>
      <c r="E1063" s="211">
        <v>92848.08</v>
      </c>
      <c r="F1063" s="211">
        <v>195293.46</v>
      </c>
      <c r="G1063" s="211">
        <v>211747</v>
      </c>
      <c r="H1063" s="211">
        <v>260032.11</v>
      </c>
    </row>
    <row r="1064" spans="1:8" x14ac:dyDescent="0.2">
      <c r="A1064" s="210">
        <v>1812200811</v>
      </c>
      <c r="B1064" s="210" t="s">
        <v>960</v>
      </c>
      <c r="C1064" s="219">
        <v>325000</v>
      </c>
      <c r="D1064" s="211">
        <v>325000</v>
      </c>
      <c r="E1064" s="211">
        <v>292500</v>
      </c>
      <c r="F1064" s="211">
        <v>325000</v>
      </c>
      <c r="G1064" s="211">
        <v>324996</v>
      </c>
      <c r="H1064" s="211">
        <v>325000</v>
      </c>
    </row>
    <row r="1065" spans="1:8" x14ac:dyDescent="0.2">
      <c r="A1065" s="210">
        <v>1812200910</v>
      </c>
      <c r="B1065" s="210" t="s">
        <v>1148</v>
      </c>
      <c r="C1065" s="219"/>
    </row>
    <row r="1066" spans="1:8" x14ac:dyDescent="0.2">
      <c r="A1066" s="210">
        <v>1812200930</v>
      </c>
      <c r="B1066" s="210" t="s">
        <v>961</v>
      </c>
      <c r="C1066" s="219">
        <v>10000</v>
      </c>
      <c r="D1066" s="211">
        <v>10000</v>
      </c>
      <c r="H1066" s="211">
        <v>3600</v>
      </c>
    </row>
    <row r="1067" spans="1:8" x14ac:dyDescent="0.2">
      <c r="A1067" s="210">
        <v>1812201560</v>
      </c>
      <c r="B1067" s="210" t="s">
        <v>664</v>
      </c>
      <c r="C1067" s="219">
        <v>3000</v>
      </c>
      <c r="D1067" s="211">
        <v>3000</v>
      </c>
    </row>
    <row r="1068" spans="1:8" x14ac:dyDescent="0.2">
      <c r="A1068" s="210">
        <v>1812201780</v>
      </c>
      <c r="B1068" s="210" t="s">
        <v>962</v>
      </c>
      <c r="C1068" s="219">
        <v>35000</v>
      </c>
      <c r="D1068" s="211">
        <v>35000</v>
      </c>
      <c r="E1068" s="211">
        <v>28954.29</v>
      </c>
      <c r="F1068" s="211">
        <v>44322.35</v>
      </c>
      <c r="G1068" s="211">
        <v>37918.68</v>
      </c>
      <c r="H1068" s="211">
        <v>18773.46</v>
      </c>
    </row>
    <row r="1069" spans="1:8" x14ac:dyDescent="0.2">
      <c r="A1069" s="210">
        <v>1812210110</v>
      </c>
      <c r="B1069" s="210" t="s">
        <v>921</v>
      </c>
      <c r="C1069" s="219">
        <v>6826562</v>
      </c>
      <c r="D1069" s="211">
        <v>6147834</v>
      </c>
      <c r="E1069" s="211">
        <v>4815014.24</v>
      </c>
      <c r="F1069" s="211">
        <v>5802388.8399999999</v>
      </c>
      <c r="G1069" s="211">
        <v>6060095.6699999999</v>
      </c>
      <c r="H1069" s="211">
        <v>5967031.3200000003</v>
      </c>
    </row>
    <row r="1070" spans="1:8" x14ac:dyDescent="0.2">
      <c r="A1070" s="210">
        <v>1812210210</v>
      </c>
      <c r="B1070" s="210" t="s">
        <v>922</v>
      </c>
      <c r="C1070" s="219">
        <v>7057668</v>
      </c>
      <c r="D1070" s="211">
        <v>7020850</v>
      </c>
      <c r="E1070" s="211">
        <v>4746325.51</v>
      </c>
      <c r="F1070" s="211">
        <v>4558569.55</v>
      </c>
      <c r="G1070" s="211">
        <v>3290125.66</v>
      </c>
      <c r="H1070" s="211">
        <v>2356320.7400000002</v>
      </c>
    </row>
    <row r="1071" spans="1:8" x14ac:dyDescent="0.2">
      <c r="A1071" s="210">
        <v>1812210760</v>
      </c>
      <c r="B1071" s="210" t="s">
        <v>963</v>
      </c>
      <c r="C1071" s="219">
        <v>6483444</v>
      </c>
      <c r="D1071" s="211">
        <v>6330619</v>
      </c>
      <c r="E1071" s="211">
        <v>4540509.55</v>
      </c>
      <c r="F1071" s="211">
        <v>6396006.9400000004</v>
      </c>
      <c r="G1071" s="211">
        <v>6079050.6799999997</v>
      </c>
      <c r="H1071" s="211">
        <v>5869481.7999999998</v>
      </c>
    </row>
    <row r="1072" spans="1:8" x14ac:dyDescent="0.2">
      <c r="A1072" s="210">
        <v>1812220760</v>
      </c>
      <c r="B1072" s="210" t="s">
        <v>363</v>
      </c>
      <c r="C1072" s="219">
        <v>4820402</v>
      </c>
      <c r="D1072" s="211">
        <v>4578320</v>
      </c>
      <c r="F1072" s="211">
        <v>4055097</v>
      </c>
      <c r="G1072" s="211">
        <v>3832371.75</v>
      </c>
      <c r="H1072" s="211">
        <v>3738152</v>
      </c>
    </row>
    <row r="1073" spans="1:8" x14ac:dyDescent="0.2">
      <c r="A1073" s="210">
        <v>1812500210</v>
      </c>
      <c r="B1073" s="210" t="s">
        <v>160</v>
      </c>
      <c r="C1073" s="219"/>
    </row>
    <row r="1074" spans="1:8" x14ac:dyDescent="0.2">
      <c r="A1074" s="210">
        <v>1812500780</v>
      </c>
      <c r="B1074" s="210" t="s">
        <v>964</v>
      </c>
      <c r="C1074" s="219">
        <v>1841878</v>
      </c>
      <c r="D1074" s="211">
        <v>1841878</v>
      </c>
      <c r="E1074" s="211">
        <v>398165.44</v>
      </c>
      <c r="F1074" s="211">
        <v>1841018.19</v>
      </c>
      <c r="G1074" s="211">
        <v>1400379.54</v>
      </c>
      <c r="H1074" s="211">
        <v>1336748.56</v>
      </c>
    </row>
    <row r="1075" spans="1:8" x14ac:dyDescent="0.2">
      <c r="A1075" s="210">
        <v>1812501780</v>
      </c>
      <c r="B1075" s="210" t="s">
        <v>965</v>
      </c>
      <c r="C1075" s="219">
        <v>2455717</v>
      </c>
      <c r="D1075" s="211">
        <v>2455717</v>
      </c>
      <c r="E1075" s="211">
        <v>939941.45</v>
      </c>
      <c r="F1075" s="211">
        <v>2036467.62</v>
      </c>
      <c r="G1075" s="211">
        <v>1996139.24</v>
      </c>
      <c r="H1075" s="211">
        <v>2124948.48</v>
      </c>
    </row>
    <row r="1076" spans="1:8" x14ac:dyDescent="0.2">
      <c r="A1076" s="210">
        <v>1812800210</v>
      </c>
      <c r="B1076" s="210" t="s">
        <v>1157</v>
      </c>
      <c r="C1076" s="219">
        <v>0</v>
      </c>
      <c r="D1076" s="211">
        <v>8262</v>
      </c>
      <c r="F1076" s="211">
        <v>8261.7800000000007</v>
      </c>
      <c r="G1076" s="211">
        <v>14645.4</v>
      </c>
      <c r="H1076" s="211">
        <v>13554.81</v>
      </c>
    </row>
    <row r="1077" spans="1:8" x14ac:dyDescent="0.2">
      <c r="A1077" s="210">
        <v>1813200430</v>
      </c>
      <c r="B1077" s="210" t="s">
        <v>839</v>
      </c>
      <c r="C1077" s="219">
        <v>1276292</v>
      </c>
      <c r="D1077" s="211">
        <v>1300000</v>
      </c>
      <c r="E1077" s="211">
        <v>625465.30000000005</v>
      </c>
      <c r="F1077" s="211">
        <v>1361512.51</v>
      </c>
      <c r="G1077" s="211">
        <v>1352775</v>
      </c>
      <c r="H1077" s="211">
        <v>1204957.72</v>
      </c>
    </row>
    <row r="1078" spans="1:8" x14ac:dyDescent="0.2">
      <c r="A1078" s="210">
        <v>1813200470</v>
      </c>
      <c r="B1078" s="210" t="s">
        <v>966</v>
      </c>
      <c r="C1078" s="219">
        <v>25000</v>
      </c>
      <c r="D1078" s="211">
        <v>25000</v>
      </c>
      <c r="E1078" s="211">
        <v>7191</v>
      </c>
      <c r="F1078" s="211">
        <v>26029</v>
      </c>
      <c r="G1078" s="211">
        <v>26237</v>
      </c>
      <c r="H1078" s="211">
        <v>25952</v>
      </c>
    </row>
    <row r="1079" spans="1:8" x14ac:dyDescent="0.2">
      <c r="A1079" s="210">
        <v>1813200540</v>
      </c>
      <c r="B1079" s="210" t="s">
        <v>967</v>
      </c>
      <c r="C1079" s="219"/>
      <c r="E1079" s="211">
        <v>522.47</v>
      </c>
      <c r="G1079" s="211">
        <v>120845.36</v>
      </c>
      <c r="H1079" s="211">
        <v>229908.42</v>
      </c>
    </row>
    <row r="1080" spans="1:8" x14ac:dyDescent="0.2">
      <c r="A1080" s="210">
        <v>1813200720</v>
      </c>
      <c r="B1080" s="210" t="s">
        <v>689</v>
      </c>
      <c r="C1080" s="219">
        <v>150000</v>
      </c>
      <c r="D1080" s="211">
        <v>150000</v>
      </c>
      <c r="E1080" s="211">
        <v>127781.23</v>
      </c>
      <c r="F1080" s="211">
        <v>149226.95000000001</v>
      </c>
      <c r="G1080" s="211">
        <v>157297</v>
      </c>
      <c r="H1080" s="211">
        <v>173314</v>
      </c>
    </row>
    <row r="1081" spans="1:8" x14ac:dyDescent="0.2">
      <c r="A1081" s="210">
        <v>1813200721</v>
      </c>
      <c r="B1081" s="210" t="s">
        <v>968</v>
      </c>
      <c r="C1081" s="219">
        <v>250000</v>
      </c>
      <c r="D1081" s="211">
        <v>250000</v>
      </c>
      <c r="E1081" s="211">
        <v>265255</v>
      </c>
      <c r="F1081" s="211">
        <v>335033</v>
      </c>
      <c r="G1081" s="211">
        <v>430486</v>
      </c>
      <c r="H1081" s="211">
        <v>403086</v>
      </c>
    </row>
    <row r="1082" spans="1:8" x14ac:dyDescent="0.2">
      <c r="A1082" s="210">
        <v>1813200722</v>
      </c>
      <c r="B1082" s="210" t="s">
        <v>1246</v>
      </c>
      <c r="C1082" s="219"/>
    </row>
    <row r="1083" spans="1:8" x14ac:dyDescent="0.2">
      <c r="A1083" s="210">
        <v>1813200750</v>
      </c>
      <c r="B1083" s="210" t="s">
        <v>714</v>
      </c>
      <c r="C1083" s="219">
        <v>400000</v>
      </c>
      <c r="D1083" s="211">
        <v>100000</v>
      </c>
      <c r="E1083" s="211">
        <v>59925.9</v>
      </c>
      <c r="F1083" s="211">
        <v>117433.52</v>
      </c>
      <c r="G1083" s="211">
        <v>1032782.08</v>
      </c>
      <c r="H1083" s="211">
        <v>377491.96</v>
      </c>
    </row>
    <row r="1084" spans="1:8" x14ac:dyDescent="0.2">
      <c r="A1084" s="210">
        <v>1813200780</v>
      </c>
      <c r="B1084" s="210" t="s">
        <v>580</v>
      </c>
      <c r="C1084" s="219">
        <v>25000</v>
      </c>
      <c r="D1084" s="211">
        <v>25000</v>
      </c>
      <c r="E1084" s="211">
        <v>23944</v>
      </c>
      <c r="F1084" s="211">
        <v>26166</v>
      </c>
      <c r="G1084" s="211">
        <v>26083</v>
      </c>
      <c r="H1084" s="211">
        <v>16970</v>
      </c>
    </row>
    <row r="1085" spans="1:8" x14ac:dyDescent="0.2">
      <c r="A1085" s="210">
        <v>1813200910</v>
      </c>
      <c r="B1085" s="210" t="s">
        <v>738</v>
      </c>
      <c r="C1085" s="219"/>
    </row>
    <row r="1086" spans="1:8" x14ac:dyDescent="0.2">
      <c r="A1086" s="210">
        <v>1813200980</v>
      </c>
      <c r="B1086" s="210" t="s">
        <v>969</v>
      </c>
      <c r="C1086" s="219">
        <v>2096000</v>
      </c>
      <c r="D1086" s="211">
        <v>2068560</v>
      </c>
      <c r="E1086" s="211">
        <v>1272871.96</v>
      </c>
      <c r="F1086" s="211">
        <v>2179013.1</v>
      </c>
      <c r="G1086" s="211">
        <v>2595256.0099999998</v>
      </c>
      <c r="H1086" s="211">
        <v>1894021</v>
      </c>
    </row>
    <row r="1087" spans="1:8" x14ac:dyDescent="0.2">
      <c r="A1087" s="210">
        <v>1813200981</v>
      </c>
      <c r="B1087" s="210" t="s">
        <v>1494</v>
      </c>
      <c r="C1087" s="219">
        <f>1940000-100000+70000-100000</f>
        <v>1810000</v>
      </c>
      <c r="D1087" s="211">
        <v>1790000</v>
      </c>
      <c r="E1087" s="211">
        <v>1561476.21</v>
      </c>
      <c r="F1087" s="211">
        <v>1034050</v>
      </c>
    </row>
    <row r="1088" spans="1:8" x14ac:dyDescent="0.2">
      <c r="A1088" s="210">
        <v>1813201750</v>
      </c>
      <c r="B1088" s="210" t="s">
        <v>970</v>
      </c>
      <c r="C1088" s="219">
        <v>262500</v>
      </c>
      <c r="D1088" s="211">
        <v>262500</v>
      </c>
      <c r="E1088" s="211">
        <v>198520.9</v>
      </c>
      <c r="F1088" s="211">
        <v>436527.1</v>
      </c>
      <c r="G1088" s="211">
        <v>563334.67000000004</v>
      </c>
      <c r="H1088" s="211">
        <v>249981.3</v>
      </c>
    </row>
    <row r="1089" spans="1:8" x14ac:dyDescent="0.2">
      <c r="A1089" s="210">
        <v>1813201780</v>
      </c>
      <c r="B1089" s="210" t="s">
        <v>1493</v>
      </c>
      <c r="C1089" s="219">
        <v>520202</v>
      </c>
      <c r="D1089" s="211">
        <v>28882</v>
      </c>
      <c r="E1089" s="211">
        <v>104300</v>
      </c>
      <c r="F1089" s="211">
        <v>59780</v>
      </c>
    </row>
    <row r="1090" spans="1:8" x14ac:dyDescent="0.2">
      <c r="A1090" s="210">
        <v>1813201781</v>
      </c>
      <c r="B1090" s="210" t="s">
        <v>1492</v>
      </c>
      <c r="C1090" s="219">
        <v>540750</v>
      </c>
      <c r="D1090" s="211">
        <v>518100</v>
      </c>
      <c r="E1090" s="211">
        <v>573186.69999999995</v>
      </c>
      <c r="F1090" s="211">
        <v>172550</v>
      </c>
    </row>
    <row r="1091" spans="1:8" x14ac:dyDescent="0.2">
      <c r="A1091" s="210">
        <v>1813201980</v>
      </c>
      <c r="B1091" s="210" t="s">
        <v>127</v>
      </c>
      <c r="C1091" s="219">
        <v>953107</v>
      </c>
      <c r="D1091" s="211">
        <v>953107</v>
      </c>
      <c r="E1091" s="211">
        <v>669398</v>
      </c>
      <c r="F1091" s="211">
        <v>837505.62</v>
      </c>
      <c r="G1091" s="211">
        <v>1032118</v>
      </c>
    </row>
    <row r="1092" spans="1:8" x14ac:dyDescent="0.2">
      <c r="A1092" s="210">
        <v>1813204110</v>
      </c>
      <c r="B1092" s="210" t="s">
        <v>923</v>
      </c>
      <c r="C1092" s="219">
        <f>1395400+51393</f>
        <v>1446793</v>
      </c>
      <c r="D1092" s="211">
        <v>1339883</v>
      </c>
      <c r="E1092" s="211">
        <v>1060325.74</v>
      </c>
      <c r="F1092" s="211">
        <v>1355292.05</v>
      </c>
      <c r="G1092" s="211">
        <v>1405700.55</v>
      </c>
      <c r="H1092" s="211">
        <v>1290256.5900000001</v>
      </c>
    </row>
    <row r="1093" spans="1:8" x14ac:dyDescent="0.2">
      <c r="A1093" s="210">
        <v>1813204210</v>
      </c>
      <c r="B1093" s="210" t="s">
        <v>919</v>
      </c>
      <c r="C1093" s="219"/>
      <c r="D1093" s="211">
        <v>33297</v>
      </c>
      <c r="E1093" s="211">
        <v>1545.81</v>
      </c>
      <c r="F1093" s="211">
        <v>29291.45</v>
      </c>
      <c r="G1093" s="211">
        <v>18588.89</v>
      </c>
      <c r="H1093" s="211">
        <v>3661.86</v>
      </c>
    </row>
    <row r="1094" spans="1:8" x14ac:dyDescent="0.2">
      <c r="A1094" s="210">
        <v>1813205110</v>
      </c>
      <c r="B1094" s="210" t="s">
        <v>924</v>
      </c>
      <c r="C1094" s="219">
        <f>1620793+48159</f>
        <v>1668952</v>
      </c>
      <c r="D1094" s="211">
        <v>1356718</v>
      </c>
      <c r="E1094" s="211">
        <v>1113615.99</v>
      </c>
      <c r="F1094" s="211">
        <v>1310557.33</v>
      </c>
      <c r="G1094" s="211">
        <v>1139164.1000000001</v>
      </c>
      <c r="H1094" s="211">
        <v>1166678.22</v>
      </c>
    </row>
    <row r="1095" spans="1:8" x14ac:dyDescent="0.2">
      <c r="A1095" s="210">
        <v>1813205210</v>
      </c>
      <c r="B1095" s="210" t="s">
        <v>925</v>
      </c>
      <c r="C1095" s="219"/>
      <c r="F1095" s="211">
        <v>48805.31</v>
      </c>
      <c r="G1095" s="211">
        <v>146100.73000000001</v>
      </c>
      <c r="H1095" s="211">
        <v>94656.72</v>
      </c>
    </row>
    <row r="1096" spans="1:8" x14ac:dyDescent="0.2">
      <c r="A1096" s="210">
        <v>1813205750</v>
      </c>
      <c r="B1096" s="210" t="s">
        <v>161</v>
      </c>
      <c r="C1096" s="219"/>
    </row>
    <row r="1097" spans="1:8" x14ac:dyDescent="0.2">
      <c r="A1097" s="210">
        <v>1813205760</v>
      </c>
      <c r="B1097" s="210" t="s">
        <v>971</v>
      </c>
      <c r="C1097" s="219">
        <v>75000</v>
      </c>
      <c r="D1097" s="211">
        <v>75000</v>
      </c>
      <c r="E1097" s="211">
        <v>67500</v>
      </c>
      <c r="F1097" s="211">
        <v>75000</v>
      </c>
      <c r="G1097" s="211">
        <v>75000</v>
      </c>
      <c r="H1097" s="211">
        <v>75000</v>
      </c>
    </row>
    <row r="1098" spans="1:8" x14ac:dyDescent="0.2">
      <c r="A1098" s="210">
        <v>1813205780</v>
      </c>
      <c r="B1098" s="210" t="s">
        <v>972</v>
      </c>
      <c r="C1098" s="219">
        <v>300000</v>
      </c>
      <c r="D1098" s="211">
        <v>300000</v>
      </c>
      <c r="E1098" s="211">
        <v>270000</v>
      </c>
      <c r="F1098" s="211">
        <v>300000</v>
      </c>
      <c r="G1098" s="211">
        <v>300000</v>
      </c>
      <c r="H1098" s="211">
        <v>300000</v>
      </c>
    </row>
    <row r="1099" spans="1:8" x14ac:dyDescent="0.2">
      <c r="A1099" s="210">
        <v>1813205781</v>
      </c>
      <c r="B1099" s="210" t="s">
        <v>1582</v>
      </c>
      <c r="C1099" s="219">
        <v>99000</v>
      </c>
      <c r="D1099" s="211">
        <v>99000</v>
      </c>
      <c r="E1099" s="211">
        <v>15588</v>
      </c>
      <c r="G1099" s="211">
        <v>65000</v>
      </c>
      <c r="H1099" s="211">
        <v>60000</v>
      </c>
    </row>
    <row r="1100" spans="1:8" x14ac:dyDescent="0.2">
      <c r="A1100" s="210">
        <v>1813211110</v>
      </c>
      <c r="B1100" s="210" t="s">
        <v>926</v>
      </c>
      <c r="C1100" s="219">
        <v>144510</v>
      </c>
      <c r="D1100" s="211">
        <v>190142</v>
      </c>
      <c r="E1100" s="211">
        <v>82796.28</v>
      </c>
      <c r="F1100" s="211">
        <v>187684.66</v>
      </c>
      <c r="G1100" s="211">
        <v>185956.02</v>
      </c>
      <c r="H1100" s="211">
        <v>227346.65</v>
      </c>
    </row>
    <row r="1101" spans="1:8" x14ac:dyDescent="0.2">
      <c r="A1101" s="210">
        <v>1813211750</v>
      </c>
      <c r="B1101" s="210" t="s">
        <v>974</v>
      </c>
      <c r="C1101" s="219">
        <v>1850000</v>
      </c>
      <c r="D1101" s="211">
        <v>1904000</v>
      </c>
      <c r="E1101" s="211">
        <v>1111789</v>
      </c>
      <c r="F1101" s="211">
        <v>1826530</v>
      </c>
      <c r="G1101" s="211">
        <v>1602680</v>
      </c>
      <c r="H1101" s="211">
        <v>1482277.95</v>
      </c>
    </row>
    <row r="1102" spans="1:8" x14ac:dyDescent="0.2">
      <c r="A1102" s="210">
        <v>1813213110</v>
      </c>
      <c r="B1102" s="210" t="s">
        <v>927</v>
      </c>
      <c r="C1102" s="219">
        <v>2449056</v>
      </c>
      <c r="D1102" s="211">
        <v>1895284</v>
      </c>
      <c r="E1102" s="211">
        <v>1659084</v>
      </c>
      <c r="F1102" s="211">
        <v>2001345.12</v>
      </c>
      <c r="G1102" s="211">
        <v>2057954.68</v>
      </c>
      <c r="H1102" s="211">
        <v>2124763.58</v>
      </c>
    </row>
    <row r="1103" spans="1:8" x14ac:dyDescent="0.2">
      <c r="A1103" s="210">
        <v>1813213210</v>
      </c>
      <c r="B1103" s="210" t="s">
        <v>928</v>
      </c>
      <c r="C1103" s="219">
        <v>2335909</v>
      </c>
      <c r="D1103" s="211">
        <v>1682816</v>
      </c>
      <c r="E1103" s="211">
        <v>1560775.9</v>
      </c>
      <c r="F1103" s="211">
        <v>1482415.13</v>
      </c>
      <c r="G1103" s="211">
        <v>1180858.73</v>
      </c>
      <c r="H1103" s="211">
        <v>943143.56</v>
      </c>
    </row>
    <row r="1104" spans="1:8" x14ac:dyDescent="0.2">
      <c r="A1104" s="210">
        <v>1813214110</v>
      </c>
      <c r="B1104" s="210" t="s">
        <v>162</v>
      </c>
      <c r="C1104" s="219">
        <v>144954</v>
      </c>
      <c r="D1104" s="211">
        <v>130761</v>
      </c>
      <c r="E1104" s="211">
        <v>108327.39</v>
      </c>
      <c r="F1104" s="211">
        <v>155830.49</v>
      </c>
      <c r="G1104" s="211">
        <v>135881.76</v>
      </c>
      <c r="H1104" s="211">
        <v>273200.39</v>
      </c>
    </row>
    <row r="1105" spans="1:8" x14ac:dyDescent="0.2">
      <c r="A1105" s="210">
        <v>1813214210</v>
      </c>
      <c r="B1105" s="210" t="s">
        <v>1158</v>
      </c>
      <c r="C1105" s="219"/>
    </row>
    <row r="1106" spans="1:8" x14ac:dyDescent="0.2">
      <c r="A1106" s="210">
        <v>1813300430</v>
      </c>
      <c r="B1106" s="210" t="s">
        <v>975</v>
      </c>
      <c r="C1106" s="219">
        <v>5000</v>
      </c>
      <c r="D1106" s="211">
        <v>5000</v>
      </c>
      <c r="E1106" s="211">
        <v>5000</v>
      </c>
      <c r="F1106" s="211">
        <v>5000</v>
      </c>
      <c r="G1106" s="211">
        <v>5000</v>
      </c>
      <c r="H1106" s="211">
        <v>5000</v>
      </c>
    </row>
    <row r="1107" spans="1:8" x14ac:dyDescent="0.2">
      <c r="A1107" s="210">
        <v>1813300721</v>
      </c>
      <c r="B1107" s="210" t="s">
        <v>976</v>
      </c>
      <c r="C1107" s="219">
        <v>552892</v>
      </c>
      <c r="D1107" s="211">
        <v>539917</v>
      </c>
      <c r="E1107" s="211">
        <v>294412.90000000002</v>
      </c>
      <c r="F1107" s="211">
        <v>603940.98</v>
      </c>
      <c r="G1107" s="211">
        <v>403719.92</v>
      </c>
      <c r="H1107" s="211">
        <v>191222.84</v>
      </c>
    </row>
    <row r="1108" spans="1:8" x14ac:dyDescent="0.2">
      <c r="A1108" s="210">
        <v>1813300780</v>
      </c>
      <c r="B1108" s="210" t="s">
        <v>977</v>
      </c>
      <c r="C1108" s="219">
        <v>20000</v>
      </c>
      <c r="D1108" s="211">
        <v>20000</v>
      </c>
      <c r="E1108" s="211">
        <v>20000</v>
      </c>
      <c r="F1108" s="211">
        <v>20000</v>
      </c>
      <c r="G1108" s="211">
        <v>20000</v>
      </c>
      <c r="H1108" s="211">
        <v>20085</v>
      </c>
    </row>
    <row r="1109" spans="1:8" x14ac:dyDescent="0.2">
      <c r="A1109" s="210">
        <v>1813304110</v>
      </c>
      <c r="B1109" s="210" t="s">
        <v>919</v>
      </c>
      <c r="C1109" s="219">
        <f>257636+7645</f>
        <v>265281</v>
      </c>
      <c r="D1109" s="211">
        <v>239617</v>
      </c>
      <c r="E1109" s="211">
        <v>195462.88</v>
      </c>
      <c r="F1109" s="211">
        <v>240401.99</v>
      </c>
      <c r="G1109" s="211">
        <v>211321.76</v>
      </c>
      <c r="H1109" s="211">
        <v>194460.27</v>
      </c>
    </row>
    <row r="1110" spans="1:8" x14ac:dyDescent="0.2">
      <c r="A1110" s="210">
        <v>1813305110</v>
      </c>
      <c r="B1110" s="210" t="s">
        <v>929</v>
      </c>
      <c r="C1110" s="219">
        <f>263321+7931</f>
        <v>271252</v>
      </c>
      <c r="D1110" s="211">
        <v>241381</v>
      </c>
      <c r="E1110" s="211">
        <v>193563.9</v>
      </c>
      <c r="F1110" s="211">
        <v>245186.34</v>
      </c>
      <c r="G1110" s="211">
        <v>215097.65</v>
      </c>
      <c r="H1110" s="211">
        <v>212435.21</v>
      </c>
    </row>
    <row r="1111" spans="1:8" x14ac:dyDescent="0.2">
      <c r="A1111" s="210">
        <v>1813311750</v>
      </c>
      <c r="B1111" s="210" t="s">
        <v>978</v>
      </c>
      <c r="C1111" s="219">
        <v>310000</v>
      </c>
      <c r="D1111" s="211">
        <v>310000</v>
      </c>
      <c r="E1111" s="211">
        <v>179301</v>
      </c>
      <c r="F1111" s="211">
        <v>300872</v>
      </c>
      <c r="G1111" s="211">
        <v>291056</v>
      </c>
      <c r="H1111" s="211">
        <v>245007.05</v>
      </c>
    </row>
    <row r="1112" spans="1:8" x14ac:dyDescent="0.2">
      <c r="A1112" s="210">
        <v>1813313110</v>
      </c>
      <c r="B1112" s="210" t="s">
        <v>930</v>
      </c>
      <c r="C1112" s="219">
        <v>2366532</v>
      </c>
      <c r="D1112" s="211">
        <v>1887957</v>
      </c>
      <c r="E1112" s="211">
        <v>1693098.32</v>
      </c>
      <c r="F1112" s="211">
        <v>1946328.31</v>
      </c>
      <c r="G1112" s="211">
        <v>2209377.0299999998</v>
      </c>
      <c r="H1112" s="211">
        <v>2135059.41</v>
      </c>
    </row>
    <row r="1113" spans="1:8" x14ac:dyDescent="0.2">
      <c r="A1113" s="210">
        <v>1813313210</v>
      </c>
      <c r="B1113" s="210" t="s">
        <v>931</v>
      </c>
      <c r="C1113" s="219">
        <v>654850</v>
      </c>
      <c r="D1113" s="211">
        <v>910102</v>
      </c>
      <c r="E1113" s="211">
        <v>493055.63</v>
      </c>
      <c r="F1113" s="211">
        <v>670333.42000000004</v>
      </c>
      <c r="G1113" s="211">
        <v>538709.16</v>
      </c>
      <c r="H1113" s="211">
        <v>388173.51</v>
      </c>
    </row>
    <row r="1114" spans="1:8" x14ac:dyDescent="0.2">
      <c r="A1114" s="210">
        <v>1813317780</v>
      </c>
      <c r="B1114" s="210" t="s">
        <v>289</v>
      </c>
      <c r="C1114" s="219">
        <v>1350000</v>
      </c>
      <c r="D1114" s="211">
        <v>1350000</v>
      </c>
      <c r="E1114" s="211">
        <v>933334</v>
      </c>
      <c r="F1114" s="211">
        <v>1395758</v>
      </c>
      <c r="G1114" s="211">
        <v>1321642</v>
      </c>
      <c r="H1114" s="211">
        <v>1286498</v>
      </c>
    </row>
    <row r="1115" spans="1:8" x14ac:dyDescent="0.2">
      <c r="A1115" s="210">
        <v>1813700750</v>
      </c>
      <c r="B1115" s="210" t="s">
        <v>979</v>
      </c>
      <c r="C1115" s="219">
        <v>45000</v>
      </c>
      <c r="D1115" s="211">
        <v>45000</v>
      </c>
      <c r="E1115" s="211">
        <v>19557.900000000001</v>
      </c>
      <c r="F1115" s="211">
        <v>40107.15</v>
      </c>
      <c r="G1115" s="211">
        <v>66277.100000000006</v>
      </c>
      <c r="H1115" s="211">
        <v>61340.35</v>
      </c>
    </row>
    <row r="1116" spans="1:8" x14ac:dyDescent="0.2">
      <c r="A1116" s="210">
        <v>1813700780</v>
      </c>
      <c r="B1116" s="210" t="s">
        <v>1491</v>
      </c>
      <c r="C1116" s="219">
        <v>1000</v>
      </c>
      <c r="D1116" s="211">
        <v>1000</v>
      </c>
      <c r="F1116" s="211">
        <v>-177</v>
      </c>
      <c r="G1116" s="211">
        <v>1972</v>
      </c>
      <c r="H1116" s="211">
        <v>2201.02</v>
      </c>
    </row>
    <row r="1117" spans="1:8" x14ac:dyDescent="0.2">
      <c r="A1117" s="210">
        <v>1813705110</v>
      </c>
      <c r="B1117" s="210" t="s">
        <v>932</v>
      </c>
      <c r="C1117" s="219">
        <v>127329</v>
      </c>
      <c r="D1117" s="211">
        <v>125440</v>
      </c>
      <c r="E1117" s="211">
        <v>96717.7</v>
      </c>
      <c r="F1117" s="211">
        <v>123735.03999999999</v>
      </c>
      <c r="G1117" s="211">
        <v>122009.41</v>
      </c>
      <c r="H1117" s="211">
        <v>121690.6</v>
      </c>
    </row>
    <row r="1118" spans="1:8" x14ac:dyDescent="0.2">
      <c r="A1118" s="210">
        <v>1815200810</v>
      </c>
      <c r="B1118" s="210" t="s">
        <v>981</v>
      </c>
      <c r="C1118" s="219">
        <v>41360</v>
      </c>
      <c r="D1118" s="211">
        <v>41360</v>
      </c>
      <c r="E1118" s="211">
        <v>41209</v>
      </c>
      <c r="F1118" s="211">
        <v>38360</v>
      </c>
      <c r="G1118" s="211">
        <v>38360</v>
      </c>
      <c r="H1118" s="211">
        <v>35360</v>
      </c>
    </row>
    <row r="1119" spans="1:8" x14ac:dyDescent="0.2">
      <c r="A1119" s="210">
        <v>1815700810</v>
      </c>
      <c r="B1119" s="210" t="s">
        <v>982</v>
      </c>
      <c r="C1119" s="219">
        <v>350000</v>
      </c>
      <c r="D1119" s="211">
        <v>350000</v>
      </c>
      <c r="F1119" s="211">
        <v>-73992.2</v>
      </c>
      <c r="G1119" s="211">
        <v>698666</v>
      </c>
      <c r="H1119" s="211">
        <v>100180</v>
      </c>
    </row>
    <row r="1120" spans="1:8" x14ac:dyDescent="0.2">
      <c r="A1120" s="210">
        <v>1815700910</v>
      </c>
      <c r="B1120" s="210" t="s">
        <v>1148</v>
      </c>
      <c r="C1120" s="219"/>
    </row>
    <row r="1121" spans="1:8" x14ac:dyDescent="0.2">
      <c r="A1121" s="210">
        <v>1815701110</v>
      </c>
      <c r="B1121" s="210" t="s">
        <v>163</v>
      </c>
      <c r="C1121" s="219"/>
    </row>
    <row r="1122" spans="1:8" x14ac:dyDescent="0.2">
      <c r="A1122" s="210">
        <v>1815701810</v>
      </c>
      <c r="B1122" s="210" t="s">
        <v>983</v>
      </c>
      <c r="C1122" s="219">
        <v>14200000</v>
      </c>
      <c r="D1122" s="211">
        <v>14200000</v>
      </c>
      <c r="E1122" s="211">
        <v>14200000</v>
      </c>
      <c r="F1122" s="211">
        <v>14200000</v>
      </c>
      <c r="G1122" s="211">
        <v>13999992</v>
      </c>
      <c r="H1122" s="211">
        <v>14000000</v>
      </c>
    </row>
    <row r="1123" spans="1:8" x14ac:dyDescent="0.2">
      <c r="A1123" s="210">
        <v>1815710810</v>
      </c>
      <c r="B1123" s="210" t="s">
        <v>164</v>
      </c>
      <c r="C1123" s="219"/>
    </row>
    <row r="1124" spans="1:8" x14ac:dyDescent="0.2">
      <c r="A1124" s="210">
        <v>1815730422</v>
      </c>
      <c r="B1124" s="210" t="s">
        <v>984</v>
      </c>
      <c r="C1124" s="219"/>
      <c r="H1124" s="211">
        <v>13000</v>
      </c>
    </row>
    <row r="1125" spans="1:8" x14ac:dyDescent="0.2">
      <c r="A1125" s="210">
        <v>1815777780</v>
      </c>
      <c r="B1125" s="210" t="s">
        <v>985</v>
      </c>
      <c r="C1125" s="219">
        <v>1050000</v>
      </c>
      <c r="D1125" s="211">
        <v>1050000</v>
      </c>
      <c r="F1125" s="211">
        <v>1409032</v>
      </c>
      <c r="G1125" s="211">
        <v>742911</v>
      </c>
      <c r="H1125" s="211">
        <v>1070614.82</v>
      </c>
    </row>
    <row r="1126" spans="1:8" x14ac:dyDescent="0.2">
      <c r="A1126" s="210">
        <v>1815777781</v>
      </c>
      <c r="B1126" s="210" t="s">
        <v>985</v>
      </c>
      <c r="C1126" s="219">
        <v>16000000</v>
      </c>
      <c r="D1126" s="211">
        <v>16000000</v>
      </c>
      <c r="E1126" s="211">
        <v>15999997</v>
      </c>
      <c r="F1126" s="211">
        <v>15999997</v>
      </c>
      <c r="G1126" s="211">
        <v>16099992</v>
      </c>
      <c r="H1126" s="211">
        <v>15000000</v>
      </c>
    </row>
    <row r="1127" spans="1:8" x14ac:dyDescent="0.2">
      <c r="A1127" s="210">
        <v>1815788110</v>
      </c>
      <c r="B1127" s="210" t="s">
        <v>933</v>
      </c>
      <c r="C1127" s="219"/>
      <c r="F1127" s="211">
        <v>822.59</v>
      </c>
      <c r="G1127" s="211">
        <v>227508.89</v>
      </c>
      <c r="H1127" s="211">
        <v>207717.67</v>
      </c>
    </row>
    <row r="1128" spans="1:8" x14ac:dyDescent="0.2">
      <c r="A1128" s="210">
        <v>1815788780</v>
      </c>
      <c r="B1128" s="210" t="s">
        <v>986</v>
      </c>
      <c r="C1128" s="219">
        <v>625000</v>
      </c>
      <c r="D1128" s="211">
        <v>625000</v>
      </c>
      <c r="E1128" s="211">
        <v>324996</v>
      </c>
      <c r="F1128" s="211">
        <v>627511.41</v>
      </c>
      <c r="G1128" s="211">
        <v>686578.11</v>
      </c>
      <c r="H1128" s="211">
        <v>442287.07</v>
      </c>
    </row>
    <row r="1129" spans="1:8" x14ac:dyDescent="0.2">
      <c r="A1129" s="210">
        <v>1815788781</v>
      </c>
      <c r="B1129" s="210" t="s">
        <v>292</v>
      </c>
      <c r="C1129" s="219">
        <v>7000000</v>
      </c>
      <c r="D1129" s="211">
        <v>7000000</v>
      </c>
      <c r="E1129" s="211">
        <v>7000000</v>
      </c>
      <c r="F1129" s="211">
        <v>7000000</v>
      </c>
      <c r="G1129" s="211">
        <v>7024997</v>
      </c>
      <c r="H1129" s="211">
        <v>7000000</v>
      </c>
    </row>
    <row r="1130" spans="1:8" x14ac:dyDescent="0.2">
      <c r="A1130" s="210">
        <v>1817000752</v>
      </c>
      <c r="B1130" s="210" t="s">
        <v>165</v>
      </c>
      <c r="C1130" s="219"/>
    </row>
    <row r="1131" spans="1:8" x14ac:dyDescent="0.2">
      <c r="A1131" s="210">
        <v>1817000980</v>
      </c>
      <c r="B1131" s="210" t="s">
        <v>987</v>
      </c>
      <c r="C1131" s="219">
        <v>563000</v>
      </c>
      <c r="D1131" s="211">
        <v>563000</v>
      </c>
      <c r="E1131" s="211">
        <v>311145.44</v>
      </c>
      <c r="F1131" s="211">
        <v>667052.41</v>
      </c>
      <c r="G1131" s="211">
        <v>1740168.93</v>
      </c>
      <c r="H1131" s="211">
        <v>2155562.89</v>
      </c>
    </row>
    <row r="1132" spans="1:8" x14ac:dyDescent="0.2">
      <c r="A1132" s="210">
        <v>1817100110</v>
      </c>
      <c r="B1132" s="210" t="s">
        <v>934</v>
      </c>
      <c r="C1132" s="219">
        <v>262048</v>
      </c>
      <c r="D1132" s="211">
        <v>246584</v>
      </c>
      <c r="E1132" s="211">
        <v>202983.86</v>
      </c>
      <c r="F1132" s="211">
        <v>120565.34</v>
      </c>
      <c r="G1132" s="211">
        <v>361314.87</v>
      </c>
      <c r="H1132" s="211">
        <v>367515.9</v>
      </c>
    </row>
    <row r="1133" spans="1:8" x14ac:dyDescent="0.2">
      <c r="A1133" s="210">
        <v>1817100750</v>
      </c>
      <c r="B1133" s="210" t="s">
        <v>988</v>
      </c>
      <c r="C1133" s="219">
        <v>1955935</v>
      </c>
      <c r="D1133" s="211">
        <v>1897397</v>
      </c>
      <c r="E1133" s="211">
        <v>1151151.94</v>
      </c>
      <c r="F1133" s="211">
        <v>1870565.89</v>
      </c>
      <c r="G1133" s="211">
        <v>1871686.27</v>
      </c>
      <c r="H1133" s="211">
        <v>1693040</v>
      </c>
    </row>
    <row r="1134" spans="1:8" x14ac:dyDescent="0.2">
      <c r="A1134" s="210">
        <v>1817200110</v>
      </c>
      <c r="B1134" s="210" t="s">
        <v>1490</v>
      </c>
      <c r="C1134" s="219">
        <v>244498</v>
      </c>
      <c r="D1134" s="211">
        <v>235312</v>
      </c>
      <c r="E1134" s="211">
        <v>184954.87</v>
      </c>
      <c r="F1134" s="211">
        <v>233921.85</v>
      </c>
      <c r="G1134" s="211">
        <v>218130.38</v>
      </c>
      <c r="H1134" s="211">
        <v>222339</v>
      </c>
    </row>
    <row r="1135" spans="1:8" x14ac:dyDescent="0.2">
      <c r="A1135" s="210">
        <v>1817200540</v>
      </c>
      <c r="B1135" s="210" t="s">
        <v>989</v>
      </c>
      <c r="C1135" s="219">
        <v>3500</v>
      </c>
      <c r="D1135" s="211">
        <v>3500</v>
      </c>
      <c r="E1135" s="211">
        <v>2096.0500000000002</v>
      </c>
      <c r="F1135" s="211">
        <v>3630.4</v>
      </c>
      <c r="G1135" s="211">
        <v>4784.1000000000004</v>
      </c>
      <c r="H1135" s="211">
        <v>5365.97</v>
      </c>
    </row>
    <row r="1136" spans="1:8" x14ac:dyDescent="0.2">
      <c r="A1136" s="210">
        <v>1817200780</v>
      </c>
      <c r="B1136" s="210" t="s">
        <v>990</v>
      </c>
      <c r="C1136" s="219">
        <v>0</v>
      </c>
      <c r="D1136" s="211">
        <v>6500</v>
      </c>
      <c r="G1136" s="211">
        <v>8000</v>
      </c>
      <c r="H1136" s="211">
        <v>8000</v>
      </c>
    </row>
    <row r="1137" spans="1:8" x14ac:dyDescent="0.2">
      <c r="A1137" s="210">
        <v>1817300110</v>
      </c>
      <c r="B1137" s="210" t="s">
        <v>523</v>
      </c>
      <c r="C1137" s="219">
        <f>1890707+31421+28979</f>
        <v>1951107</v>
      </c>
      <c r="D1137" s="211">
        <v>1852671</v>
      </c>
      <c r="E1137" s="211">
        <v>1410574.77</v>
      </c>
      <c r="F1137" s="211">
        <v>1879309.13</v>
      </c>
      <c r="G1137" s="211">
        <v>1761289.22</v>
      </c>
      <c r="H1137" s="211">
        <v>1731921.63</v>
      </c>
    </row>
    <row r="1138" spans="1:8" x14ac:dyDescent="0.2">
      <c r="A1138" s="210">
        <v>1817300430</v>
      </c>
      <c r="B1138" s="210" t="s">
        <v>839</v>
      </c>
      <c r="C1138" s="219">
        <v>26000</v>
      </c>
      <c r="D1138" s="211">
        <v>26000</v>
      </c>
      <c r="E1138" s="211">
        <v>13094.14</v>
      </c>
      <c r="F1138" s="211">
        <v>23328.44</v>
      </c>
      <c r="G1138" s="211">
        <v>31219.78</v>
      </c>
      <c r="H1138" s="211">
        <v>34059.01</v>
      </c>
    </row>
    <row r="1139" spans="1:8" x14ac:dyDescent="0.2">
      <c r="A1139" s="210">
        <v>1817300470</v>
      </c>
      <c r="B1139" s="210" t="s">
        <v>820</v>
      </c>
      <c r="C1139" s="219">
        <v>3000</v>
      </c>
      <c r="D1139" s="211">
        <v>3000</v>
      </c>
      <c r="E1139" s="211">
        <v>1876.56</v>
      </c>
      <c r="F1139" s="211">
        <v>2377.59</v>
      </c>
      <c r="G1139" s="211">
        <v>1423.85</v>
      </c>
      <c r="H1139" s="211">
        <v>2996.25</v>
      </c>
    </row>
    <row r="1140" spans="1:8" x14ac:dyDescent="0.2">
      <c r="A1140" s="210">
        <v>1817300511</v>
      </c>
      <c r="B1140" s="210" t="s">
        <v>697</v>
      </c>
      <c r="C1140" s="219">
        <v>1500</v>
      </c>
      <c r="D1140" s="211">
        <v>1500</v>
      </c>
      <c r="E1140" s="211">
        <v>1500.02</v>
      </c>
      <c r="F1140" s="211">
        <v>1493.64</v>
      </c>
      <c r="G1140" s="211">
        <v>1500</v>
      </c>
      <c r="H1140" s="211">
        <v>1512.81</v>
      </c>
    </row>
    <row r="1141" spans="1:8" x14ac:dyDescent="0.2">
      <c r="A1141" s="210">
        <v>1817300521</v>
      </c>
      <c r="B1141" s="210" t="s">
        <v>991</v>
      </c>
      <c r="C1141" s="219">
        <v>50000</v>
      </c>
      <c r="D1141" s="211">
        <v>50000</v>
      </c>
      <c r="E1141" s="211">
        <v>6783.36</v>
      </c>
      <c r="F1141" s="211">
        <v>43872.28</v>
      </c>
      <c r="G1141" s="211">
        <v>50472</v>
      </c>
      <c r="H1141" s="211">
        <v>52134.45</v>
      </c>
    </row>
    <row r="1142" spans="1:8" x14ac:dyDescent="0.2">
      <c r="A1142" s="210">
        <v>1817300540</v>
      </c>
      <c r="B1142" s="210" t="s">
        <v>875</v>
      </c>
      <c r="C1142" s="219">
        <v>11000</v>
      </c>
      <c r="D1142" s="211">
        <v>11000</v>
      </c>
      <c r="E1142" s="211">
        <v>1086.93</v>
      </c>
      <c r="F1142" s="211">
        <v>9303.0300000000007</v>
      </c>
      <c r="G1142" s="211">
        <v>11558.76</v>
      </c>
      <c r="H1142" s="211">
        <v>13092.05</v>
      </c>
    </row>
    <row r="1143" spans="1:8" x14ac:dyDescent="0.2">
      <c r="A1143" s="210">
        <v>1817300720</v>
      </c>
      <c r="B1143" s="210" t="s">
        <v>689</v>
      </c>
      <c r="C1143" s="219">
        <v>1000</v>
      </c>
      <c r="D1143" s="211">
        <v>1000</v>
      </c>
      <c r="E1143" s="211">
        <v>1702.73</v>
      </c>
      <c r="F1143" s="211">
        <v>1037</v>
      </c>
      <c r="G1143" s="211">
        <v>1000</v>
      </c>
      <c r="H1143" s="211">
        <v>995.25</v>
      </c>
    </row>
    <row r="1144" spans="1:8" x14ac:dyDescent="0.2">
      <c r="A1144" s="210">
        <v>1817300750</v>
      </c>
      <c r="B1144" s="210" t="s">
        <v>714</v>
      </c>
      <c r="C1144" s="219">
        <v>25000</v>
      </c>
      <c r="D1144" s="211">
        <v>25000</v>
      </c>
      <c r="E1144" s="211">
        <v>18580.919999999998</v>
      </c>
      <c r="F1144" s="211">
        <v>36555.599999999999</v>
      </c>
      <c r="G1144" s="211">
        <v>9286.0300000000007</v>
      </c>
      <c r="H1144" s="211">
        <v>10365</v>
      </c>
    </row>
    <row r="1145" spans="1:8" x14ac:dyDescent="0.2">
      <c r="A1145" s="210">
        <v>1817300780</v>
      </c>
      <c r="B1145" s="210" t="s">
        <v>580</v>
      </c>
      <c r="C1145" s="219">
        <v>6000</v>
      </c>
      <c r="D1145" s="211">
        <v>6000</v>
      </c>
      <c r="E1145" s="211">
        <v>3467.19</v>
      </c>
      <c r="F1145" s="211">
        <v>4508.2700000000004</v>
      </c>
      <c r="G1145" s="211">
        <v>7567.28</v>
      </c>
      <c r="H1145" s="211">
        <v>9544.32</v>
      </c>
    </row>
    <row r="1146" spans="1:8" x14ac:dyDescent="0.2">
      <c r="A1146" s="210">
        <v>1817304110</v>
      </c>
      <c r="B1146" s="210" t="s">
        <v>936</v>
      </c>
      <c r="C1146" s="219">
        <v>200626</v>
      </c>
      <c r="D1146" s="211">
        <v>195773</v>
      </c>
      <c r="E1146" s="211">
        <v>153056.89000000001</v>
      </c>
      <c r="F1146" s="211">
        <v>195280.21</v>
      </c>
      <c r="G1146" s="211">
        <v>195415.08</v>
      </c>
      <c r="H1146" s="211">
        <v>204707.58</v>
      </c>
    </row>
    <row r="1147" spans="1:8" x14ac:dyDescent="0.2">
      <c r="A1147" s="210">
        <v>1817311110</v>
      </c>
      <c r="B1147" s="210" t="s">
        <v>937</v>
      </c>
      <c r="C1147" s="219"/>
      <c r="H1147" s="211">
        <v>-102.15</v>
      </c>
    </row>
    <row r="1148" spans="1:8" x14ac:dyDescent="0.2">
      <c r="A1148" s="210">
        <v>1817500760</v>
      </c>
      <c r="B1148" s="210" t="s">
        <v>992</v>
      </c>
      <c r="C1148" s="219">
        <v>350000</v>
      </c>
      <c r="D1148" s="211">
        <v>350000</v>
      </c>
      <c r="E1148" s="211">
        <v>293615</v>
      </c>
      <c r="F1148" s="211">
        <v>453862.5</v>
      </c>
      <c r="G1148" s="211">
        <v>297495</v>
      </c>
      <c r="H1148" s="211">
        <v>282299</v>
      </c>
    </row>
    <row r="1149" spans="1:8" x14ac:dyDescent="0.2">
      <c r="A1149" s="210">
        <v>1817600110</v>
      </c>
      <c r="B1149" s="210" t="s">
        <v>523</v>
      </c>
      <c r="C1149" s="219">
        <v>364494</v>
      </c>
      <c r="D1149" s="211">
        <v>360291</v>
      </c>
      <c r="E1149" s="211">
        <v>278936.21000000002</v>
      </c>
      <c r="F1149" s="211">
        <v>360178.07</v>
      </c>
      <c r="G1149" s="211">
        <v>355256.55</v>
      </c>
      <c r="H1149" s="211">
        <v>345343.67</v>
      </c>
    </row>
    <row r="1150" spans="1:8" x14ac:dyDescent="0.2">
      <c r="A1150" s="210">
        <v>1817600780</v>
      </c>
      <c r="B1150" s="210" t="s">
        <v>580</v>
      </c>
      <c r="C1150" s="219"/>
    </row>
    <row r="1151" spans="1:8" x14ac:dyDescent="0.2">
      <c r="A1151" s="210">
        <v>1817600980</v>
      </c>
      <c r="B1151" s="210" t="s">
        <v>993</v>
      </c>
      <c r="C1151" s="219">
        <v>990554</v>
      </c>
      <c r="D1151" s="211">
        <v>902351</v>
      </c>
      <c r="E1151" s="211">
        <v>385614</v>
      </c>
      <c r="F1151" s="211">
        <v>535430.89</v>
      </c>
      <c r="G1151" s="211">
        <v>971224.98</v>
      </c>
      <c r="H1151" s="211">
        <v>414699.79</v>
      </c>
    </row>
    <row r="1152" spans="1:8" x14ac:dyDescent="0.2">
      <c r="A1152" s="210">
        <v>1817613110</v>
      </c>
      <c r="B1152" s="210" t="s">
        <v>166</v>
      </c>
      <c r="C1152" s="219"/>
    </row>
    <row r="1153" spans="1:8" x14ac:dyDescent="0.2">
      <c r="A1153" s="210">
        <v>1817622110</v>
      </c>
      <c r="B1153" s="210" t="s">
        <v>167</v>
      </c>
      <c r="C1153" s="219"/>
      <c r="G1153" s="211">
        <v>20071.04</v>
      </c>
    </row>
    <row r="1154" spans="1:8" x14ac:dyDescent="0.2">
      <c r="A1154" s="210">
        <v>1817622210</v>
      </c>
      <c r="B1154" s="210" t="s">
        <v>938</v>
      </c>
      <c r="C1154" s="219">
        <v>63916</v>
      </c>
      <c r="D1154" s="211">
        <v>195806</v>
      </c>
      <c r="E1154" s="211">
        <v>49520.52</v>
      </c>
      <c r="F1154" s="211">
        <v>161438.82999999999</v>
      </c>
      <c r="G1154" s="211">
        <v>264306.83</v>
      </c>
      <c r="H1154" s="211">
        <v>324492.61</v>
      </c>
    </row>
    <row r="1155" spans="1:8" x14ac:dyDescent="0.2">
      <c r="A1155" s="210">
        <v>1817700110</v>
      </c>
      <c r="B1155" s="210" t="s">
        <v>939</v>
      </c>
      <c r="C1155" s="219">
        <v>812362</v>
      </c>
      <c r="D1155" s="211">
        <v>803737</v>
      </c>
      <c r="E1155" s="211">
        <v>621079.43000000005</v>
      </c>
      <c r="F1155" s="211">
        <v>801200.21</v>
      </c>
      <c r="G1155" s="211">
        <v>761811.45</v>
      </c>
      <c r="H1155" s="211">
        <v>692536.72</v>
      </c>
    </row>
    <row r="1156" spans="1:8" x14ac:dyDescent="0.2">
      <c r="A1156" s="210">
        <v>1817700721</v>
      </c>
      <c r="B1156" s="210" t="s">
        <v>168</v>
      </c>
      <c r="C1156" s="219"/>
    </row>
    <row r="1157" spans="1:8" x14ac:dyDescent="0.2">
      <c r="A1157" s="210">
        <v>1817700780</v>
      </c>
      <c r="B1157" s="210" t="s">
        <v>388</v>
      </c>
      <c r="C1157" s="219">
        <v>5000</v>
      </c>
      <c r="F1157" s="211">
        <v>2966</v>
      </c>
      <c r="G1157" s="211">
        <v>5291.5</v>
      </c>
      <c r="H1157" s="211">
        <v>5000</v>
      </c>
    </row>
    <row r="1158" spans="1:8" x14ac:dyDescent="0.2">
      <c r="A1158" s="210">
        <v>1817700930</v>
      </c>
      <c r="B1158" s="210" t="s">
        <v>1247</v>
      </c>
      <c r="C1158" s="219"/>
    </row>
    <row r="1159" spans="1:8" x14ac:dyDescent="0.2">
      <c r="A1159" s="210">
        <v>1817701110</v>
      </c>
      <c r="B1159" s="210" t="s">
        <v>940</v>
      </c>
      <c r="C1159" s="219">
        <v>185709</v>
      </c>
      <c r="D1159" s="211">
        <v>181643</v>
      </c>
      <c r="E1159" s="211">
        <v>140087.60999999999</v>
      </c>
      <c r="F1159" s="211">
        <v>181176.69</v>
      </c>
      <c r="G1159" s="211">
        <v>168812.35</v>
      </c>
      <c r="H1159" s="211">
        <v>149634.54</v>
      </c>
    </row>
    <row r="1160" spans="1:8" x14ac:dyDescent="0.2">
      <c r="A1160" s="210">
        <v>1817710110</v>
      </c>
      <c r="B1160" s="210" t="s">
        <v>941</v>
      </c>
      <c r="C1160" s="219">
        <v>15587</v>
      </c>
      <c r="D1160" s="211">
        <v>30000</v>
      </c>
      <c r="E1160" s="211">
        <v>10860.49</v>
      </c>
      <c r="F1160" s="211">
        <v>19544.8</v>
      </c>
      <c r="G1160" s="211">
        <v>5105.82</v>
      </c>
      <c r="H1160" s="211">
        <v>13922.5</v>
      </c>
    </row>
    <row r="1161" spans="1:8" x14ac:dyDescent="0.2">
      <c r="A1161" s="210">
        <v>1817710721</v>
      </c>
      <c r="B1161" s="210" t="s">
        <v>994</v>
      </c>
      <c r="C1161" s="219">
        <v>195000</v>
      </c>
      <c r="D1161" s="211">
        <v>195000</v>
      </c>
      <c r="E1161" s="211">
        <v>155475.53</v>
      </c>
      <c r="F1161" s="211">
        <v>213423.43</v>
      </c>
      <c r="G1161" s="211">
        <v>220212</v>
      </c>
      <c r="H1161" s="211">
        <v>217019.37</v>
      </c>
    </row>
    <row r="1162" spans="1:8" x14ac:dyDescent="0.2">
      <c r="A1162" s="210">
        <v>1817711110</v>
      </c>
      <c r="B1162" s="210" t="s">
        <v>942</v>
      </c>
      <c r="C1162" s="219"/>
      <c r="F1162" s="211">
        <v>34123.56</v>
      </c>
      <c r="G1162" s="211">
        <v>65683.679999999993</v>
      </c>
      <c r="H1162" s="211">
        <v>63870.48</v>
      </c>
    </row>
    <row r="1163" spans="1:8" x14ac:dyDescent="0.2">
      <c r="A1163" s="210">
        <v>1817727110</v>
      </c>
      <c r="B1163" s="210" t="s">
        <v>943</v>
      </c>
      <c r="C1163" s="219">
        <v>217125</v>
      </c>
      <c r="F1163" s="211">
        <v>16355.59</v>
      </c>
      <c r="G1163" s="211">
        <v>100055.44</v>
      </c>
      <c r="H1163" s="211">
        <v>94669.11</v>
      </c>
    </row>
    <row r="1164" spans="1:8" x14ac:dyDescent="0.2">
      <c r="A1164" s="210">
        <v>1817728110</v>
      </c>
      <c r="B1164" s="210" t="s">
        <v>944</v>
      </c>
      <c r="C1164" s="219"/>
      <c r="E1164" s="211">
        <v>45080.49</v>
      </c>
      <c r="F1164" s="211">
        <v>102337.8</v>
      </c>
      <c r="G1164" s="211">
        <v>185747.92</v>
      </c>
      <c r="H1164" s="211">
        <v>176894.11</v>
      </c>
    </row>
    <row r="1165" spans="1:8" x14ac:dyDescent="0.2">
      <c r="A1165" s="210">
        <v>1817800110</v>
      </c>
      <c r="B1165" s="210" t="s">
        <v>1159</v>
      </c>
      <c r="C1165" s="219">
        <v>34201</v>
      </c>
      <c r="D1165" s="211">
        <v>43898</v>
      </c>
      <c r="E1165" s="211">
        <v>39950.129999999997</v>
      </c>
      <c r="F1165" s="211">
        <v>46763.040000000001</v>
      </c>
      <c r="G1165" s="211">
        <v>106739.7</v>
      </c>
      <c r="H1165" s="211">
        <v>100962.36</v>
      </c>
    </row>
    <row r="1166" spans="1:8" x14ac:dyDescent="0.2">
      <c r="A1166" s="210">
        <v>1817800210</v>
      </c>
      <c r="B1166" s="210" t="s">
        <v>945</v>
      </c>
      <c r="C1166" s="219">
        <v>2342345</v>
      </c>
      <c r="D1166" s="211">
        <v>1870239</v>
      </c>
      <c r="E1166" s="211">
        <v>1537804.15</v>
      </c>
      <c r="F1166" s="211">
        <v>1910870.86</v>
      </c>
      <c r="G1166" s="211">
        <v>1810848.04</v>
      </c>
      <c r="H1166" s="211">
        <v>1752127.25</v>
      </c>
    </row>
    <row r="1167" spans="1:8" x14ac:dyDescent="0.2">
      <c r="A1167" s="210">
        <v>1817800510</v>
      </c>
      <c r="B1167" s="210" t="s">
        <v>995</v>
      </c>
      <c r="C1167" s="219">
        <v>5769876</v>
      </c>
      <c r="D1167" s="211">
        <v>5627057</v>
      </c>
      <c r="E1167" s="211">
        <v>3318734.25</v>
      </c>
      <c r="F1167" s="211">
        <v>5115944.53</v>
      </c>
      <c r="G1167" s="211">
        <v>5250557.6100000003</v>
      </c>
      <c r="H1167" s="211">
        <v>5152524.0599999996</v>
      </c>
    </row>
    <row r="1168" spans="1:8" x14ac:dyDescent="0.2">
      <c r="A1168" s="210">
        <v>1817900110</v>
      </c>
      <c r="B1168" s="210" t="s">
        <v>523</v>
      </c>
      <c r="C1168" s="219">
        <v>177022</v>
      </c>
      <c r="D1168" s="211">
        <v>170708</v>
      </c>
      <c r="E1168" s="211">
        <v>133668.26</v>
      </c>
      <c r="F1168" s="211">
        <v>171214.19</v>
      </c>
      <c r="G1168" s="211">
        <v>156692.25</v>
      </c>
      <c r="H1168" s="211">
        <v>145004.48000000001</v>
      </c>
    </row>
    <row r="1169" spans="1:8" x14ac:dyDescent="0.2">
      <c r="A1169" s="210">
        <v>1817900430</v>
      </c>
      <c r="B1169" s="210" t="s">
        <v>996</v>
      </c>
      <c r="C1169" s="219">
        <v>6000</v>
      </c>
      <c r="D1169" s="211">
        <v>8000</v>
      </c>
      <c r="E1169" s="211">
        <v>3667.66</v>
      </c>
      <c r="F1169" s="211">
        <v>6464.99</v>
      </c>
      <c r="G1169" s="211">
        <v>5284.99</v>
      </c>
      <c r="H1169" s="211">
        <v>5133.68</v>
      </c>
    </row>
    <row r="1170" spans="1:8" x14ac:dyDescent="0.2">
      <c r="A1170" s="210">
        <v>1817900540</v>
      </c>
      <c r="B1170" s="210" t="s">
        <v>997</v>
      </c>
      <c r="C1170" s="219">
        <v>2500</v>
      </c>
      <c r="D1170" s="211">
        <v>5000</v>
      </c>
      <c r="E1170" s="211">
        <v>1147.6199999999999</v>
      </c>
      <c r="F1170" s="211">
        <v>4584.0200000000004</v>
      </c>
      <c r="G1170" s="211">
        <v>4858.37</v>
      </c>
      <c r="H1170" s="211">
        <v>5654.02</v>
      </c>
    </row>
    <row r="1171" spans="1:8" x14ac:dyDescent="0.2">
      <c r="A1171" s="210">
        <v>1817900750</v>
      </c>
      <c r="B1171" s="210" t="s">
        <v>714</v>
      </c>
      <c r="C1171" s="219"/>
    </row>
    <row r="1172" spans="1:8" x14ac:dyDescent="0.2">
      <c r="A1172" s="210">
        <v>1817900780</v>
      </c>
      <c r="B1172" s="210" t="s">
        <v>580</v>
      </c>
      <c r="C1172" s="219">
        <v>25000</v>
      </c>
      <c r="D1172" s="211">
        <v>25000</v>
      </c>
      <c r="E1172" s="211">
        <v>16020.01</v>
      </c>
    </row>
    <row r="1173" spans="1:8" x14ac:dyDescent="0.2">
      <c r="A1173" s="210">
        <v>1817900811</v>
      </c>
      <c r="B1173" s="210" t="s">
        <v>169</v>
      </c>
      <c r="C1173" s="219"/>
    </row>
    <row r="1174" spans="1:8" x14ac:dyDescent="0.2">
      <c r="A1174" s="210">
        <v>1817900910</v>
      </c>
      <c r="B1174" s="210" t="s">
        <v>704</v>
      </c>
      <c r="C1174" s="219">
        <v>52332</v>
      </c>
      <c r="D1174" s="211">
        <v>52332</v>
      </c>
      <c r="E1174" s="211">
        <v>1166</v>
      </c>
      <c r="F1174" s="211">
        <v>52332</v>
      </c>
      <c r="G1174" s="211">
        <v>49806</v>
      </c>
    </row>
    <row r="1175" spans="1:8" x14ac:dyDescent="0.2">
      <c r="A1175" s="210">
        <v>1817904110</v>
      </c>
      <c r="B1175" s="210" t="s">
        <v>946</v>
      </c>
      <c r="C1175" s="219">
        <v>189602</v>
      </c>
      <c r="D1175" s="211">
        <v>171988</v>
      </c>
      <c r="E1175" s="211">
        <v>137600.32999999999</v>
      </c>
      <c r="F1175" s="211">
        <v>170646.21</v>
      </c>
      <c r="G1175" s="211">
        <v>168156.74</v>
      </c>
      <c r="H1175" s="211">
        <v>159726.48000000001</v>
      </c>
    </row>
    <row r="1176" spans="1:8" x14ac:dyDescent="0.2">
      <c r="A1176" s="210">
        <v>1817910210</v>
      </c>
      <c r="B1176" s="210" t="s">
        <v>170</v>
      </c>
      <c r="C1176" s="219"/>
    </row>
    <row r="1177" spans="1:8" x14ac:dyDescent="0.2">
      <c r="A1177" s="210">
        <v>1817910780</v>
      </c>
      <c r="B1177" s="210" t="s">
        <v>171</v>
      </c>
      <c r="C1177" s="219"/>
    </row>
    <row r="1178" spans="1:8" x14ac:dyDescent="0.2">
      <c r="A1178" s="210">
        <v>1817922780</v>
      </c>
      <c r="B1178" s="210" t="s">
        <v>998</v>
      </c>
      <c r="C1178" s="219">
        <v>26271</v>
      </c>
      <c r="D1178" s="211">
        <v>26271</v>
      </c>
      <c r="F1178" s="211">
        <v>58380</v>
      </c>
      <c r="H1178" s="211">
        <v>55461</v>
      </c>
    </row>
    <row r="1179" spans="1:8" x14ac:dyDescent="0.2">
      <c r="A1179" s="210">
        <v>1817950210</v>
      </c>
      <c r="B1179" s="210" t="s">
        <v>947</v>
      </c>
      <c r="C1179" s="219">
        <v>1827092</v>
      </c>
      <c r="D1179" s="211">
        <v>1538000</v>
      </c>
      <c r="E1179" s="211">
        <v>1133799.75</v>
      </c>
      <c r="F1179" s="211">
        <v>1291144.27</v>
      </c>
      <c r="G1179" s="211">
        <v>1134151.22</v>
      </c>
      <c r="H1179" s="211">
        <v>984956.04</v>
      </c>
    </row>
    <row r="1180" spans="1:8" x14ac:dyDescent="0.2">
      <c r="A1180" s="210">
        <v>1817950430</v>
      </c>
      <c r="B1180" s="210" t="s">
        <v>999</v>
      </c>
      <c r="C1180" s="219">
        <v>42000</v>
      </c>
      <c r="D1180" s="211">
        <v>42000</v>
      </c>
      <c r="E1180" s="211">
        <v>20502.7</v>
      </c>
      <c r="F1180" s="211">
        <v>38862.589999999997</v>
      </c>
      <c r="G1180" s="211">
        <v>36121.97</v>
      </c>
      <c r="H1180" s="211">
        <v>33412.01</v>
      </c>
    </row>
    <row r="1181" spans="1:8" x14ac:dyDescent="0.2">
      <c r="A1181" s="210">
        <v>1817950540</v>
      </c>
      <c r="B1181" s="210" t="s">
        <v>1000</v>
      </c>
      <c r="C1181" s="219">
        <f>32000-188*12</f>
        <v>29744</v>
      </c>
      <c r="D1181" s="211">
        <v>25000</v>
      </c>
      <c r="E1181" s="211">
        <v>13448.32</v>
      </c>
      <c r="F1181" s="211">
        <v>36338.58</v>
      </c>
      <c r="G1181" s="211">
        <v>41981.15</v>
      </c>
      <c r="H1181" s="211">
        <v>39855.49</v>
      </c>
    </row>
    <row r="1182" spans="1:8" x14ac:dyDescent="0.2">
      <c r="A1182" s="210">
        <v>1817950750</v>
      </c>
      <c r="B1182" s="210" t="s">
        <v>1001</v>
      </c>
      <c r="C1182" s="219">
        <v>75000</v>
      </c>
      <c r="D1182" s="211">
        <v>75000</v>
      </c>
      <c r="E1182" s="211">
        <v>37895</v>
      </c>
      <c r="F1182" s="211">
        <v>50637</v>
      </c>
      <c r="G1182" s="211">
        <v>53950</v>
      </c>
      <c r="H1182" s="211">
        <v>33862</v>
      </c>
    </row>
    <row r="1183" spans="1:8" x14ac:dyDescent="0.2">
      <c r="A1183" s="210">
        <v>1817950780</v>
      </c>
      <c r="B1183" s="210" t="s">
        <v>172</v>
      </c>
      <c r="C1183" s="219"/>
    </row>
    <row r="1184" spans="1:8" x14ac:dyDescent="0.2">
      <c r="A1184" s="210">
        <v>1817950980</v>
      </c>
      <c r="B1184" s="210" t="s">
        <v>1002</v>
      </c>
      <c r="C1184" s="219">
        <v>200000</v>
      </c>
      <c r="D1184" s="211">
        <v>310000</v>
      </c>
      <c r="E1184" s="211">
        <v>263703.59000000003</v>
      </c>
      <c r="F1184" s="211">
        <v>325675.43</v>
      </c>
      <c r="G1184" s="211">
        <v>310574.81</v>
      </c>
      <c r="H1184" s="211">
        <v>260442.74</v>
      </c>
    </row>
    <row r="1185" spans="1:8" x14ac:dyDescent="0.2">
      <c r="A1185" s="210">
        <v>1817951110</v>
      </c>
      <c r="B1185" s="210" t="s">
        <v>948</v>
      </c>
      <c r="C1185" s="219">
        <v>140964</v>
      </c>
      <c r="D1185" s="211">
        <v>139500</v>
      </c>
      <c r="E1185" s="211">
        <v>106284.42</v>
      </c>
      <c r="F1185" s="211">
        <v>105328.58</v>
      </c>
      <c r="G1185" s="211">
        <v>66267.66</v>
      </c>
      <c r="H1185" s="211">
        <v>108794.01</v>
      </c>
    </row>
    <row r="1186" spans="1:8" x14ac:dyDescent="0.2">
      <c r="A1186" s="210">
        <v>1817952110</v>
      </c>
      <c r="B1186" s="210" t="s">
        <v>128</v>
      </c>
      <c r="C1186" s="219"/>
    </row>
    <row r="1187" spans="1:8" x14ac:dyDescent="0.2">
      <c r="A1187" s="210">
        <v>1817960110</v>
      </c>
      <c r="B1187" s="210" t="s">
        <v>949</v>
      </c>
      <c r="C1187" s="219">
        <v>981664</v>
      </c>
      <c r="D1187" s="211">
        <v>907773</v>
      </c>
      <c r="E1187" s="211">
        <v>666515.87</v>
      </c>
      <c r="F1187" s="211">
        <v>822645.57</v>
      </c>
      <c r="G1187" s="211">
        <v>728474.97</v>
      </c>
      <c r="H1187" s="211">
        <v>655036.86</v>
      </c>
    </row>
    <row r="1188" spans="1:8" x14ac:dyDescent="0.2">
      <c r="A1188" s="210">
        <v>1817960430</v>
      </c>
      <c r="B1188" s="210" t="s">
        <v>1003</v>
      </c>
      <c r="C1188" s="219">
        <v>11000</v>
      </c>
      <c r="D1188" s="211">
        <v>11000</v>
      </c>
      <c r="E1188" s="211">
        <v>2783.98</v>
      </c>
      <c r="F1188" s="211">
        <v>7434.02</v>
      </c>
      <c r="G1188" s="211">
        <v>12750.5</v>
      </c>
      <c r="H1188" s="211">
        <v>12042.26</v>
      </c>
    </row>
    <row r="1189" spans="1:8" x14ac:dyDescent="0.2">
      <c r="A1189" s="210">
        <v>1817960540</v>
      </c>
      <c r="B1189" s="210" t="s">
        <v>1004</v>
      </c>
      <c r="C1189" s="219">
        <v>500</v>
      </c>
      <c r="D1189" s="211">
        <v>300</v>
      </c>
      <c r="E1189" s="211">
        <v>100.32</v>
      </c>
      <c r="F1189" s="211">
        <v>301.7</v>
      </c>
    </row>
    <row r="1190" spans="1:8" x14ac:dyDescent="0.2">
      <c r="A1190" s="210">
        <v>1817960780</v>
      </c>
      <c r="B1190" s="210" t="s">
        <v>1005</v>
      </c>
      <c r="C1190" s="219"/>
      <c r="E1190" s="211">
        <v>6420.11</v>
      </c>
      <c r="F1190" s="211">
        <v>4637.75</v>
      </c>
      <c r="G1190" s="211">
        <v>110056.54</v>
      </c>
      <c r="H1190" s="211">
        <v>94966.11</v>
      </c>
    </row>
    <row r="1191" spans="1:8" x14ac:dyDescent="0.2">
      <c r="A1191" s="210">
        <v>1817960781</v>
      </c>
      <c r="B1191" s="210" t="s">
        <v>1006</v>
      </c>
      <c r="C1191" s="219">
        <v>55000</v>
      </c>
      <c r="D1191" s="211">
        <v>50000</v>
      </c>
      <c r="E1191" s="211">
        <v>36677.9</v>
      </c>
      <c r="F1191" s="211">
        <v>55090.239999999998</v>
      </c>
      <c r="G1191" s="211">
        <v>53257.07</v>
      </c>
      <c r="H1191" s="211">
        <v>52603.83</v>
      </c>
    </row>
    <row r="1192" spans="1:8" x14ac:dyDescent="0.2">
      <c r="A1192" s="210">
        <v>1817961110</v>
      </c>
      <c r="B1192" s="210" t="s">
        <v>950</v>
      </c>
      <c r="C1192" s="219">
        <v>100619</v>
      </c>
      <c r="D1192" s="211">
        <v>94344</v>
      </c>
      <c r="E1192" s="211">
        <v>75700.710000000006</v>
      </c>
      <c r="F1192" s="211">
        <v>94185.93</v>
      </c>
      <c r="G1192" s="211">
        <v>88334.97</v>
      </c>
      <c r="H1192" s="211">
        <v>68813.55</v>
      </c>
    </row>
    <row r="1193" spans="1:8" x14ac:dyDescent="0.2">
      <c r="A1193" s="210">
        <v>1817962110</v>
      </c>
      <c r="B1193" s="210" t="s">
        <v>951</v>
      </c>
      <c r="C1193" s="219"/>
      <c r="F1193" s="211">
        <v>209061.46</v>
      </c>
      <c r="G1193" s="211">
        <v>228345.58</v>
      </c>
      <c r="H1193" s="211">
        <v>216625.39</v>
      </c>
    </row>
    <row r="1194" spans="1:8" x14ac:dyDescent="0.2">
      <c r="A1194" s="210">
        <v>1819950210</v>
      </c>
      <c r="B1194" s="210" t="s">
        <v>1248</v>
      </c>
      <c r="C1194" s="219"/>
    </row>
    <row r="1195" spans="1:8" x14ac:dyDescent="0.2">
      <c r="A1195" s="210">
        <v>1819951210</v>
      </c>
      <c r="B1195" s="210" t="s">
        <v>952</v>
      </c>
      <c r="C1195" s="219">
        <f>8400+6077</f>
        <v>14477</v>
      </c>
      <c r="D1195" s="211">
        <v>20004</v>
      </c>
      <c r="E1195" s="211">
        <v>6603.65</v>
      </c>
      <c r="F1195" s="211">
        <v>16936.310000000001</v>
      </c>
      <c r="G1195" s="211">
        <v>22826.240000000002</v>
      </c>
      <c r="H1195" s="211">
        <v>13542.01</v>
      </c>
    </row>
    <row r="1196" spans="1:8" x14ac:dyDescent="0.2">
      <c r="A1196" s="210">
        <v>1819999110</v>
      </c>
      <c r="B1196" s="210" t="s">
        <v>919</v>
      </c>
      <c r="C1196" s="219">
        <v>242843</v>
      </c>
      <c r="D1196" s="211">
        <v>242843</v>
      </c>
      <c r="E1196" s="211">
        <v>190020.34</v>
      </c>
      <c r="F1196" s="211">
        <v>245871.41</v>
      </c>
      <c r="G1196" s="211">
        <v>229627.23</v>
      </c>
      <c r="H1196" s="211">
        <v>229041.55</v>
      </c>
    </row>
    <row r="1197" spans="1:8" x14ac:dyDescent="0.2">
      <c r="A1197" s="210">
        <v>1819999210</v>
      </c>
      <c r="B1197" s="210" t="s">
        <v>1489</v>
      </c>
      <c r="C1197" s="219">
        <v>243498</v>
      </c>
      <c r="D1197" s="211">
        <v>243498</v>
      </c>
      <c r="E1197" s="211">
        <v>332358.06</v>
      </c>
      <c r="F1197" s="211">
        <v>321435.71000000002</v>
      </c>
      <c r="G1197" s="211">
        <v>322841.65000000002</v>
      </c>
      <c r="H1197" s="211">
        <v>450737.67</v>
      </c>
    </row>
    <row r="1198" spans="1:8" x14ac:dyDescent="0.2">
      <c r="A1198" s="210">
        <v>1819999780</v>
      </c>
      <c r="B1198" s="210" t="s">
        <v>1007</v>
      </c>
      <c r="C1198" s="219">
        <v>30000</v>
      </c>
      <c r="D1198" s="211">
        <v>30000</v>
      </c>
      <c r="F1198" s="211">
        <v>42064</v>
      </c>
      <c r="G1198" s="211">
        <v>5600</v>
      </c>
      <c r="H1198" s="211">
        <v>32971.1</v>
      </c>
    </row>
    <row r="1199" spans="1:8" x14ac:dyDescent="0.2">
      <c r="A1199" s="210">
        <v>1819999999</v>
      </c>
      <c r="B1199" s="210" t="s">
        <v>173</v>
      </c>
      <c r="C1199" s="219"/>
      <c r="E1199" s="211">
        <v>34401.35</v>
      </c>
      <c r="F1199" s="211">
        <v>6559</v>
      </c>
    </row>
    <row r="1200" spans="1:8" x14ac:dyDescent="0.2">
      <c r="A1200" s="210">
        <v>1820000399</v>
      </c>
      <c r="B1200" s="210" t="s">
        <v>24</v>
      </c>
      <c r="C1200" s="219"/>
    </row>
    <row r="1201" spans="1:8" x14ac:dyDescent="0.2">
      <c r="A1201" s="210">
        <v>1822000110</v>
      </c>
      <c r="B1201" s="210" t="s">
        <v>1150</v>
      </c>
      <c r="C1201" s="219"/>
      <c r="F1201" s="211">
        <v>162.34</v>
      </c>
      <c r="G1201" s="211">
        <v>106645.57</v>
      </c>
      <c r="H1201" s="211">
        <v>107123.7</v>
      </c>
    </row>
    <row r="1202" spans="1:8" x14ac:dyDescent="0.2">
      <c r="A1202" s="210">
        <v>1822000210</v>
      </c>
      <c r="B1202" s="210" t="s">
        <v>1150</v>
      </c>
      <c r="C1202" s="219"/>
    </row>
    <row r="1203" spans="1:8" x14ac:dyDescent="0.2">
      <c r="A1203" s="210">
        <v>1822000750</v>
      </c>
      <c r="B1203" s="210" t="s">
        <v>828</v>
      </c>
      <c r="C1203" s="219">
        <v>169000</v>
      </c>
      <c r="D1203" s="211">
        <v>170000</v>
      </c>
      <c r="E1203" s="211">
        <v>149848.95000000001</v>
      </c>
      <c r="F1203" s="211">
        <v>169176.23</v>
      </c>
      <c r="G1203" s="211">
        <v>159252.15</v>
      </c>
      <c r="H1203" s="211">
        <v>171591.6</v>
      </c>
    </row>
    <row r="1204" spans="1:8" x14ac:dyDescent="0.2">
      <c r="A1204" s="210">
        <v>1822000780</v>
      </c>
      <c r="B1204" s="210" t="s">
        <v>829</v>
      </c>
      <c r="C1204" s="219">
        <v>1843000</v>
      </c>
      <c r="D1204" s="211">
        <v>1763000</v>
      </c>
      <c r="E1204" s="211">
        <v>1747358.96</v>
      </c>
      <c r="F1204" s="211">
        <v>1833435.02</v>
      </c>
      <c r="G1204" s="211">
        <v>1822951.48</v>
      </c>
      <c r="H1204" s="211">
        <v>1598522.25</v>
      </c>
    </row>
    <row r="1205" spans="1:8" x14ac:dyDescent="0.2">
      <c r="A1205" s="210">
        <v>1822000781</v>
      </c>
      <c r="B1205" s="210" t="s">
        <v>830</v>
      </c>
      <c r="C1205" s="219">
        <v>200000</v>
      </c>
      <c r="D1205" s="211">
        <v>140000</v>
      </c>
      <c r="E1205" s="211">
        <v>115018.52</v>
      </c>
      <c r="F1205" s="211">
        <v>100908.37</v>
      </c>
      <c r="G1205" s="211">
        <v>68654.27</v>
      </c>
      <c r="H1205" s="211">
        <v>64711.09</v>
      </c>
    </row>
    <row r="1206" spans="1:8" x14ac:dyDescent="0.2">
      <c r="A1206" s="210">
        <v>1822000782</v>
      </c>
      <c r="B1206" s="210" t="s">
        <v>831</v>
      </c>
      <c r="C1206" s="219">
        <v>794000</v>
      </c>
      <c r="D1206" s="211">
        <v>784500</v>
      </c>
      <c r="E1206" s="211">
        <v>376590.71</v>
      </c>
      <c r="F1206" s="211">
        <v>757388.01</v>
      </c>
      <c r="G1206" s="211">
        <v>757351.91</v>
      </c>
      <c r="H1206" s="211">
        <v>793977.59</v>
      </c>
    </row>
    <row r="1207" spans="1:8" x14ac:dyDescent="0.2">
      <c r="A1207" s="210">
        <v>1822000783</v>
      </c>
      <c r="B1207" s="210" t="s">
        <v>832</v>
      </c>
      <c r="C1207" s="219">
        <v>318000</v>
      </c>
      <c r="D1207" s="211">
        <v>311000</v>
      </c>
      <c r="E1207" s="211">
        <v>306753.56</v>
      </c>
      <c r="F1207" s="211">
        <v>301507.8</v>
      </c>
      <c r="G1207" s="211">
        <v>304679.42</v>
      </c>
      <c r="H1207" s="211">
        <v>299705.8</v>
      </c>
    </row>
    <row r="1208" spans="1:8" x14ac:dyDescent="0.2">
      <c r="A1208" s="210">
        <v>1822000784</v>
      </c>
      <c r="B1208" s="210" t="s">
        <v>833</v>
      </c>
      <c r="C1208" s="219">
        <v>353000</v>
      </c>
      <c r="D1208" s="211">
        <v>355000</v>
      </c>
      <c r="E1208" s="211">
        <v>300736.7</v>
      </c>
      <c r="F1208" s="211">
        <v>217703.2</v>
      </c>
      <c r="G1208" s="211">
        <v>221987.69</v>
      </c>
      <c r="H1208" s="211">
        <v>205734.35</v>
      </c>
    </row>
    <row r="1209" spans="1:8" x14ac:dyDescent="0.2">
      <c r="A1209" s="210">
        <v>1822000785</v>
      </c>
      <c r="B1209" s="210" t="s">
        <v>834</v>
      </c>
      <c r="C1209" s="219">
        <v>6000</v>
      </c>
      <c r="D1209" s="211">
        <v>10000</v>
      </c>
      <c r="E1209" s="211">
        <v>7968.71</v>
      </c>
      <c r="F1209" s="211">
        <v>9382.14</v>
      </c>
      <c r="G1209" s="211">
        <v>10749.88</v>
      </c>
      <c r="H1209" s="211">
        <v>10498.14</v>
      </c>
    </row>
    <row r="1210" spans="1:8" x14ac:dyDescent="0.2">
      <c r="A1210" s="210">
        <v>1822000786</v>
      </c>
      <c r="B1210" s="210" t="s">
        <v>835</v>
      </c>
      <c r="C1210" s="219">
        <v>145000</v>
      </c>
      <c r="D1210" s="211">
        <v>126500</v>
      </c>
      <c r="E1210" s="211">
        <v>107504.21</v>
      </c>
      <c r="F1210" s="211">
        <v>130101.5</v>
      </c>
      <c r="G1210" s="211">
        <v>118494.66</v>
      </c>
      <c r="H1210" s="211">
        <v>120994.51</v>
      </c>
    </row>
    <row r="1211" spans="1:8" x14ac:dyDescent="0.2">
      <c r="A1211" s="210">
        <v>1822000788</v>
      </c>
      <c r="B1211" s="210" t="s">
        <v>174</v>
      </c>
      <c r="C1211" s="219">
        <v>350000</v>
      </c>
      <c r="D1211" s="211">
        <v>350000</v>
      </c>
      <c r="E1211" s="211">
        <v>341593.66</v>
      </c>
      <c r="F1211" s="211">
        <v>295373.90000000002</v>
      </c>
      <c r="G1211" s="211">
        <v>188563.07</v>
      </c>
      <c r="H1211" s="211">
        <v>258789</v>
      </c>
    </row>
    <row r="1212" spans="1:8" x14ac:dyDescent="0.2">
      <c r="A1212" s="210">
        <v>1822000822</v>
      </c>
      <c r="B1212" s="210" t="s">
        <v>836</v>
      </c>
      <c r="C1212" s="219"/>
      <c r="H1212" s="211">
        <v>105000</v>
      </c>
    </row>
    <row r="1213" spans="1:8" x14ac:dyDescent="0.2">
      <c r="A1213" s="210">
        <v>1822300780</v>
      </c>
      <c r="B1213" s="210" t="s">
        <v>837</v>
      </c>
      <c r="C1213" s="219">
        <v>300000</v>
      </c>
      <c r="D1213" s="211">
        <v>300000</v>
      </c>
      <c r="E1213" s="211">
        <v>206451.64</v>
      </c>
      <c r="F1213" s="211">
        <v>531935.65</v>
      </c>
      <c r="G1213" s="211">
        <v>824298.11</v>
      </c>
      <c r="H1213" s="211">
        <v>962098.43</v>
      </c>
    </row>
    <row r="1214" spans="1:8" x14ac:dyDescent="0.2">
      <c r="A1214" s="210">
        <v>1822300781</v>
      </c>
      <c r="B1214" s="210" t="s">
        <v>82</v>
      </c>
      <c r="C1214" s="219">
        <v>100000</v>
      </c>
      <c r="D1214" s="211">
        <v>100000</v>
      </c>
      <c r="E1214" s="211">
        <v>57000</v>
      </c>
      <c r="F1214" s="211">
        <v>305177.3</v>
      </c>
      <c r="G1214" s="211">
        <v>126565</v>
      </c>
    </row>
    <row r="1215" spans="1:8" x14ac:dyDescent="0.2">
      <c r="A1215" s="210">
        <v>1822300782</v>
      </c>
      <c r="B1215" s="210" t="s">
        <v>1461</v>
      </c>
      <c r="C1215" s="219">
        <v>20000</v>
      </c>
      <c r="D1215" s="211">
        <v>20000</v>
      </c>
      <c r="E1215" s="211">
        <v>20000</v>
      </c>
      <c r="G1215" s="211">
        <v>30000</v>
      </c>
    </row>
    <row r="1216" spans="1:8" x14ac:dyDescent="0.2">
      <c r="A1216" s="210">
        <v>1822800780</v>
      </c>
      <c r="B1216" s="210" t="s">
        <v>838</v>
      </c>
      <c r="C1216" s="219">
        <v>110000</v>
      </c>
      <c r="D1216" s="211">
        <v>110000</v>
      </c>
      <c r="E1216" s="211">
        <v>110000</v>
      </c>
      <c r="F1216" s="211">
        <v>110000</v>
      </c>
      <c r="G1216" s="211">
        <v>100000</v>
      </c>
      <c r="H1216" s="211">
        <v>102012.54</v>
      </c>
    </row>
    <row r="1217" spans="1:8" x14ac:dyDescent="0.2">
      <c r="A1217" s="210">
        <v>1823000110</v>
      </c>
      <c r="B1217" s="210" t="s">
        <v>523</v>
      </c>
      <c r="C1217" s="219">
        <v>659631</v>
      </c>
      <c r="D1217" s="211">
        <v>610300</v>
      </c>
      <c r="E1217" s="211">
        <v>479529.17</v>
      </c>
      <c r="F1217" s="211">
        <v>663561.03</v>
      </c>
      <c r="G1217" s="211">
        <v>746931.81</v>
      </c>
      <c r="H1217" s="211">
        <v>761137.46</v>
      </c>
    </row>
    <row r="1218" spans="1:8" x14ac:dyDescent="0.2">
      <c r="A1218" s="210">
        <v>1823000210</v>
      </c>
      <c r="B1218" s="210" t="s">
        <v>244</v>
      </c>
      <c r="C1218" s="219">
        <v>59073</v>
      </c>
      <c r="D1218" s="211">
        <v>59323</v>
      </c>
      <c r="E1218" s="211">
        <v>42443.58</v>
      </c>
      <c r="F1218" s="211">
        <v>58426.15</v>
      </c>
      <c r="G1218" s="211">
        <v>56762.62</v>
      </c>
      <c r="H1218" s="211">
        <v>8027.64</v>
      </c>
    </row>
    <row r="1219" spans="1:8" x14ac:dyDescent="0.2">
      <c r="A1219" s="210">
        <v>1823000430</v>
      </c>
      <c r="B1219" s="210" t="s">
        <v>839</v>
      </c>
      <c r="C1219" s="219">
        <f>40000/8*12</f>
        <v>60000</v>
      </c>
      <c r="D1219" s="211">
        <v>60000</v>
      </c>
      <c r="E1219" s="211">
        <v>39696.86</v>
      </c>
      <c r="F1219" s="211">
        <v>56922.239999999998</v>
      </c>
      <c r="G1219" s="211">
        <v>64567.75</v>
      </c>
      <c r="H1219" s="211">
        <v>55658.86</v>
      </c>
    </row>
    <row r="1220" spans="1:8" x14ac:dyDescent="0.2">
      <c r="A1220" s="210">
        <v>1823000470</v>
      </c>
      <c r="B1220" s="210" t="s">
        <v>840</v>
      </c>
      <c r="C1220" s="219"/>
      <c r="G1220" s="211">
        <v>101</v>
      </c>
      <c r="H1220" s="211">
        <v>524.79999999999995</v>
      </c>
    </row>
    <row r="1221" spans="1:8" x14ac:dyDescent="0.2">
      <c r="A1221" s="210">
        <v>1823000520</v>
      </c>
      <c r="B1221" s="210" t="s">
        <v>841</v>
      </c>
      <c r="C1221" s="219">
        <v>16000</v>
      </c>
      <c r="D1221" s="211">
        <v>15000</v>
      </c>
      <c r="E1221" s="211">
        <v>10600</v>
      </c>
      <c r="F1221" s="211">
        <v>14628</v>
      </c>
      <c r="G1221" s="211">
        <v>15934.19</v>
      </c>
      <c r="H1221" s="211">
        <v>16272</v>
      </c>
    </row>
    <row r="1222" spans="1:8" x14ac:dyDescent="0.2">
      <c r="A1222" s="210">
        <v>1823000522</v>
      </c>
      <c r="B1222" s="210" t="s">
        <v>842</v>
      </c>
      <c r="C1222" s="219"/>
      <c r="G1222" s="211">
        <v>924.4</v>
      </c>
    </row>
    <row r="1223" spans="1:8" x14ac:dyDescent="0.2">
      <c r="A1223" s="210">
        <v>1823000540</v>
      </c>
      <c r="B1223" s="210" t="s">
        <v>843</v>
      </c>
      <c r="C1223" s="219">
        <f>2000+300*12+400</f>
        <v>6000</v>
      </c>
      <c r="D1223" s="211">
        <v>5800</v>
      </c>
      <c r="E1223" s="211">
        <v>3015.94</v>
      </c>
      <c r="F1223" s="211">
        <v>4239.2299999999996</v>
      </c>
      <c r="G1223" s="211">
        <v>7216.93</v>
      </c>
      <c r="H1223" s="211">
        <v>7695.89</v>
      </c>
    </row>
    <row r="1224" spans="1:8" x14ac:dyDescent="0.2">
      <c r="A1224" s="210">
        <v>1823000560</v>
      </c>
      <c r="B1224" s="210" t="s">
        <v>844</v>
      </c>
      <c r="C1224" s="219">
        <v>3000</v>
      </c>
      <c r="D1224" s="211">
        <v>1500</v>
      </c>
      <c r="E1224" s="211">
        <v>1174.9000000000001</v>
      </c>
      <c r="F1224" s="211">
        <v>1813.13</v>
      </c>
      <c r="G1224" s="211">
        <v>1113.5999999999999</v>
      </c>
      <c r="H1224" s="211">
        <v>1754</v>
      </c>
    </row>
    <row r="1225" spans="1:8" x14ac:dyDescent="0.2">
      <c r="A1225" s="210">
        <v>1823000581</v>
      </c>
      <c r="B1225" s="276" t="s">
        <v>1692</v>
      </c>
      <c r="C1225" s="219">
        <f>150*12</f>
        <v>1800</v>
      </c>
    </row>
    <row r="1226" spans="1:8" x14ac:dyDescent="0.2">
      <c r="A1226" s="210">
        <v>1823000720</v>
      </c>
      <c r="B1226" s="210" t="s">
        <v>175</v>
      </c>
      <c r="C1226" s="219"/>
    </row>
    <row r="1227" spans="1:8" x14ac:dyDescent="0.2">
      <c r="A1227" s="210">
        <v>1823000731</v>
      </c>
      <c r="B1227" s="210" t="s">
        <v>1151</v>
      </c>
      <c r="C1227" s="219">
        <v>22404</v>
      </c>
      <c r="D1227" s="211">
        <v>18000</v>
      </c>
      <c r="E1227" s="211">
        <v>3162.24</v>
      </c>
      <c r="F1227" s="211">
        <v>19509.43</v>
      </c>
      <c r="G1227" s="211">
        <v>17535.59</v>
      </c>
      <c r="H1227" s="211">
        <v>20704.25</v>
      </c>
    </row>
    <row r="1228" spans="1:8" x14ac:dyDescent="0.2">
      <c r="A1228" s="210">
        <v>1823000740</v>
      </c>
      <c r="B1228" s="210" t="s">
        <v>845</v>
      </c>
      <c r="C1228" s="219">
        <f>2000+150*12+1500+1700-150*12</f>
        <v>5200</v>
      </c>
      <c r="D1228" s="211">
        <v>6000</v>
      </c>
      <c r="E1228" s="211">
        <v>4460.16</v>
      </c>
      <c r="F1228" s="211">
        <v>5484</v>
      </c>
      <c r="G1228" s="211">
        <v>6004</v>
      </c>
      <c r="H1228" s="211">
        <v>6001.86</v>
      </c>
    </row>
    <row r="1229" spans="1:8" x14ac:dyDescent="0.2">
      <c r="A1229" s="210">
        <v>1823000750</v>
      </c>
      <c r="B1229" s="210" t="s">
        <v>846</v>
      </c>
      <c r="C1229" s="219">
        <v>20000</v>
      </c>
      <c r="D1229" s="211">
        <v>18000</v>
      </c>
      <c r="E1229" s="211">
        <v>12694.79</v>
      </c>
      <c r="F1229" s="211">
        <v>17550</v>
      </c>
      <c r="G1229" s="211">
        <v>18017</v>
      </c>
      <c r="H1229" s="211">
        <v>18898.53</v>
      </c>
    </row>
    <row r="1230" spans="1:8" x14ac:dyDescent="0.2">
      <c r="A1230" s="210">
        <v>1823000780</v>
      </c>
      <c r="B1230" s="210" t="s">
        <v>580</v>
      </c>
      <c r="C1230" s="219">
        <v>15000</v>
      </c>
      <c r="D1230" s="211">
        <v>13300</v>
      </c>
      <c r="E1230" s="211">
        <v>8465</v>
      </c>
      <c r="F1230" s="211">
        <v>17408.8</v>
      </c>
      <c r="G1230" s="211">
        <v>15285</v>
      </c>
      <c r="H1230" s="211">
        <v>14122.51</v>
      </c>
    </row>
    <row r="1231" spans="1:8" x14ac:dyDescent="0.2">
      <c r="A1231" s="210">
        <v>1823000910</v>
      </c>
      <c r="B1231" s="210" t="s">
        <v>738</v>
      </c>
      <c r="C1231" s="219"/>
    </row>
    <row r="1232" spans="1:8" x14ac:dyDescent="0.2">
      <c r="A1232" s="210">
        <v>1823000930</v>
      </c>
      <c r="B1232" s="210" t="s">
        <v>847</v>
      </c>
      <c r="C1232" s="219"/>
      <c r="F1232" s="211">
        <v>1563.43</v>
      </c>
      <c r="G1232" s="211">
        <v>3160</v>
      </c>
      <c r="H1232" s="211">
        <v>1676.15</v>
      </c>
    </row>
    <row r="1233" spans="1:8" x14ac:dyDescent="0.2">
      <c r="A1233" s="210">
        <v>1823010110</v>
      </c>
      <c r="B1233" s="210" t="s">
        <v>83</v>
      </c>
      <c r="C1233" s="219"/>
      <c r="G1233" s="211">
        <v>10055.56</v>
      </c>
    </row>
    <row r="1234" spans="1:8" x14ac:dyDescent="0.2">
      <c r="A1234" s="210">
        <v>1824000110</v>
      </c>
      <c r="B1234" s="210" t="s">
        <v>176</v>
      </c>
      <c r="C1234" s="219"/>
    </row>
    <row r="1235" spans="1:8" x14ac:dyDescent="0.2">
      <c r="A1235" s="210">
        <v>1824000430</v>
      </c>
      <c r="B1235" s="210" t="s">
        <v>848</v>
      </c>
      <c r="C1235" s="219">
        <v>0</v>
      </c>
      <c r="D1235" s="211">
        <v>15000</v>
      </c>
    </row>
    <row r="1236" spans="1:8" x14ac:dyDescent="0.2">
      <c r="A1236" s="210">
        <v>1824000810</v>
      </c>
      <c r="B1236" s="210" t="s">
        <v>849</v>
      </c>
      <c r="C1236" s="219">
        <f>3507000+100000+150000+100000</f>
        <v>3857000</v>
      </c>
      <c r="D1236" s="211">
        <v>3507000</v>
      </c>
      <c r="E1236" s="211">
        <v>3506996</v>
      </c>
      <c r="F1236" s="211">
        <v>3430000</v>
      </c>
      <c r="G1236" s="211">
        <v>3229999.96</v>
      </c>
      <c r="H1236" s="211">
        <v>2910000</v>
      </c>
    </row>
    <row r="1237" spans="1:8" x14ac:dyDescent="0.2">
      <c r="A1237" s="210">
        <v>1824000811</v>
      </c>
      <c r="B1237" s="210" t="s">
        <v>177</v>
      </c>
      <c r="C1237" s="219">
        <v>350000</v>
      </c>
      <c r="D1237" s="211">
        <v>240000</v>
      </c>
      <c r="E1237" s="211">
        <v>240000</v>
      </c>
      <c r="F1237" s="211">
        <v>190167</v>
      </c>
      <c r="G1237" s="211">
        <v>190619</v>
      </c>
      <c r="H1237" s="211">
        <v>64163</v>
      </c>
    </row>
    <row r="1238" spans="1:8" x14ac:dyDescent="0.2">
      <c r="A1238" s="210">
        <v>1824000812</v>
      </c>
      <c r="B1238" s="210" t="s">
        <v>850</v>
      </c>
      <c r="C1238" s="219">
        <v>80000</v>
      </c>
      <c r="D1238" s="211">
        <v>80000</v>
      </c>
      <c r="E1238" s="211">
        <v>80000</v>
      </c>
      <c r="F1238" s="211">
        <v>159996</v>
      </c>
      <c r="G1238" s="211">
        <v>80000</v>
      </c>
      <c r="H1238" s="211">
        <v>80000</v>
      </c>
    </row>
    <row r="1239" spans="1:8" x14ac:dyDescent="0.2">
      <c r="A1239" s="210">
        <v>1824000813</v>
      </c>
      <c r="B1239" s="210" t="s">
        <v>178</v>
      </c>
      <c r="C1239" s="219">
        <f>4000*1.17*12+80000+20000</f>
        <v>156160</v>
      </c>
      <c r="D1239" s="211">
        <v>236160</v>
      </c>
      <c r="E1239" s="211">
        <v>136160</v>
      </c>
    </row>
    <row r="1240" spans="1:8" x14ac:dyDescent="0.2">
      <c r="A1240" s="210">
        <v>1824000814</v>
      </c>
      <c r="B1240" s="210" t="s">
        <v>851</v>
      </c>
      <c r="C1240" s="219">
        <v>60000</v>
      </c>
      <c r="D1240" s="211">
        <v>60000</v>
      </c>
      <c r="E1240" s="211">
        <v>60000</v>
      </c>
      <c r="F1240" s="211">
        <v>80000</v>
      </c>
      <c r="G1240" s="211">
        <v>79992</v>
      </c>
      <c r="H1240" s="211">
        <v>80000</v>
      </c>
    </row>
    <row r="1241" spans="1:8" x14ac:dyDescent="0.2">
      <c r="A1241" s="210">
        <v>1824000815</v>
      </c>
      <c r="B1241" s="210" t="s">
        <v>179</v>
      </c>
      <c r="C1241" s="219"/>
    </row>
    <row r="1242" spans="1:8" x14ac:dyDescent="0.2">
      <c r="A1242" s="210">
        <v>1824000816</v>
      </c>
      <c r="B1242" s="210" t="s">
        <v>1166</v>
      </c>
      <c r="C1242" s="219">
        <v>80000</v>
      </c>
      <c r="D1242" s="211">
        <v>80000</v>
      </c>
      <c r="E1242" s="211">
        <v>80000</v>
      </c>
      <c r="F1242" s="211">
        <v>60000</v>
      </c>
      <c r="H1242" s="211">
        <v>60000</v>
      </c>
    </row>
    <row r="1243" spans="1:8" x14ac:dyDescent="0.2">
      <c r="A1243" s="210">
        <v>1824000817</v>
      </c>
      <c r="B1243" s="210" t="s">
        <v>1621</v>
      </c>
      <c r="C1243" s="219">
        <v>30000</v>
      </c>
      <c r="D1243" s="211">
        <v>30000</v>
      </c>
      <c r="E1243" s="211">
        <v>30000</v>
      </c>
    </row>
    <row r="1244" spans="1:8" x14ac:dyDescent="0.2">
      <c r="A1244" s="210">
        <v>1824000818</v>
      </c>
      <c r="B1244" s="210" t="s">
        <v>1622</v>
      </c>
      <c r="C1244" s="219">
        <v>30000</v>
      </c>
      <c r="D1244" s="211">
        <v>30000</v>
      </c>
      <c r="E1244" s="211">
        <v>30000</v>
      </c>
    </row>
    <row r="1245" spans="1:8" x14ac:dyDescent="0.2">
      <c r="A1245" s="210">
        <v>1824000930</v>
      </c>
      <c r="B1245" s="210" t="s">
        <v>180</v>
      </c>
      <c r="C1245" s="219"/>
    </row>
    <row r="1246" spans="1:8" x14ac:dyDescent="0.2">
      <c r="A1246" s="210">
        <v>1825000530</v>
      </c>
      <c r="B1246" s="210" t="s">
        <v>1623</v>
      </c>
      <c r="C1246" s="219">
        <v>60493</v>
      </c>
      <c r="D1246" s="211">
        <v>62000</v>
      </c>
      <c r="E1246" s="211">
        <v>28978.33</v>
      </c>
    </row>
    <row r="1247" spans="1:8" x14ac:dyDescent="0.2">
      <c r="A1247" s="210">
        <v>1825200110</v>
      </c>
      <c r="B1247" s="210" t="s">
        <v>523</v>
      </c>
      <c r="C1247" s="219">
        <v>2306775</v>
      </c>
      <c r="D1247" s="211">
        <v>2195765</v>
      </c>
      <c r="E1247" s="211">
        <v>1721690.72</v>
      </c>
      <c r="F1247" s="211">
        <v>2383371.9700000002</v>
      </c>
      <c r="G1247" s="211">
        <v>2254557.59</v>
      </c>
      <c r="H1247" s="211">
        <v>2102646.35</v>
      </c>
    </row>
    <row r="1248" spans="1:8" x14ac:dyDescent="0.2">
      <c r="A1248" s="210">
        <v>1825200210</v>
      </c>
      <c r="B1248" s="210" t="s">
        <v>535</v>
      </c>
      <c r="C1248" s="219">
        <v>992832</v>
      </c>
      <c r="D1248" s="211">
        <v>977052</v>
      </c>
      <c r="E1248" s="211">
        <v>751548.4</v>
      </c>
      <c r="F1248" s="211">
        <v>964479.03</v>
      </c>
      <c r="G1248" s="211">
        <v>899635.03</v>
      </c>
      <c r="H1248" s="211">
        <v>1033168</v>
      </c>
    </row>
    <row r="1249" spans="1:8" x14ac:dyDescent="0.2">
      <c r="A1249" s="210">
        <v>1825200420</v>
      </c>
      <c r="B1249" s="210" t="s">
        <v>852</v>
      </c>
      <c r="C1249" s="219">
        <v>20000</v>
      </c>
      <c r="D1249" s="211">
        <v>25000</v>
      </c>
      <c r="E1249" s="211">
        <v>17511.490000000002</v>
      </c>
      <c r="F1249" s="211">
        <v>21619.9</v>
      </c>
      <c r="G1249" s="211">
        <v>27551.49</v>
      </c>
      <c r="H1249" s="211">
        <v>25267.5</v>
      </c>
    </row>
    <row r="1250" spans="1:8" x14ac:dyDescent="0.2">
      <c r="A1250" s="210">
        <v>1825200430</v>
      </c>
      <c r="B1250" s="210" t="s">
        <v>853</v>
      </c>
      <c r="C1250" s="219">
        <f>56000/8*12</f>
        <v>84000</v>
      </c>
      <c r="D1250" s="211">
        <v>85000</v>
      </c>
      <c r="E1250" s="211">
        <v>47012.14</v>
      </c>
      <c r="F1250" s="211">
        <v>82521.19</v>
      </c>
      <c r="G1250" s="211">
        <v>83990.15</v>
      </c>
      <c r="H1250" s="211">
        <v>88836.44</v>
      </c>
    </row>
    <row r="1251" spans="1:8" x14ac:dyDescent="0.2">
      <c r="A1251" s="210">
        <v>1825200433</v>
      </c>
      <c r="B1251" s="210" t="s">
        <v>854</v>
      </c>
      <c r="C1251" s="219">
        <v>6500</v>
      </c>
      <c r="D1251" s="211">
        <v>8000</v>
      </c>
      <c r="E1251" s="211">
        <v>1755</v>
      </c>
      <c r="F1251" s="211">
        <v>5255</v>
      </c>
      <c r="G1251" s="211">
        <v>5270</v>
      </c>
      <c r="H1251" s="211">
        <v>6793.31</v>
      </c>
    </row>
    <row r="1252" spans="1:8" x14ac:dyDescent="0.2">
      <c r="A1252" s="210">
        <v>1825200450</v>
      </c>
      <c r="B1252" s="210" t="s">
        <v>855</v>
      </c>
      <c r="C1252" s="219">
        <v>8000</v>
      </c>
      <c r="D1252" s="211">
        <v>9000</v>
      </c>
      <c r="E1252" s="211">
        <v>2832</v>
      </c>
      <c r="G1252" s="211">
        <v>4956</v>
      </c>
      <c r="H1252" s="211">
        <v>9274</v>
      </c>
    </row>
    <row r="1253" spans="1:8" x14ac:dyDescent="0.2">
      <c r="A1253" s="210">
        <v>1825200470</v>
      </c>
      <c r="B1253" s="210" t="s">
        <v>856</v>
      </c>
      <c r="C1253" s="219">
        <v>1000</v>
      </c>
      <c r="D1253" s="211">
        <v>1000</v>
      </c>
      <c r="E1253" s="211">
        <v>610.80999999999995</v>
      </c>
      <c r="F1253" s="211">
        <v>1000</v>
      </c>
      <c r="G1253" s="211">
        <v>1374.81</v>
      </c>
      <c r="H1253" s="211">
        <v>2460.87</v>
      </c>
    </row>
    <row r="1254" spans="1:8" x14ac:dyDescent="0.2">
      <c r="A1254" s="210">
        <v>1825200511</v>
      </c>
      <c r="B1254" s="210" t="s">
        <v>1624</v>
      </c>
      <c r="C1254" s="219">
        <v>4500</v>
      </c>
      <c r="D1254" s="211">
        <v>1500</v>
      </c>
      <c r="E1254" s="211">
        <v>439</v>
      </c>
    </row>
    <row r="1255" spans="1:8" x14ac:dyDescent="0.2">
      <c r="A1255" s="210">
        <v>1825200512</v>
      </c>
      <c r="B1255" s="210" t="s">
        <v>857</v>
      </c>
      <c r="C1255" s="219">
        <v>20000</v>
      </c>
      <c r="D1255" s="211">
        <v>47500</v>
      </c>
      <c r="E1255" s="211">
        <v>5858</v>
      </c>
      <c r="F1255" s="211">
        <v>47772</v>
      </c>
      <c r="G1255" s="211">
        <v>25000</v>
      </c>
      <c r="H1255" s="211">
        <v>32682</v>
      </c>
    </row>
    <row r="1256" spans="1:8" x14ac:dyDescent="0.2">
      <c r="A1256" s="210">
        <v>1825200520</v>
      </c>
      <c r="B1256" s="210" t="s">
        <v>858</v>
      </c>
      <c r="C1256" s="219">
        <v>8000</v>
      </c>
      <c r="D1256" s="211">
        <v>8000</v>
      </c>
      <c r="E1256" s="211">
        <v>4683.6000000000004</v>
      </c>
      <c r="F1256" s="211">
        <v>8410</v>
      </c>
      <c r="G1256" s="211">
        <v>10000</v>
      </c>
      <c r="H1256" s="211">
        <v>15000</v>
      </c>
    </row>
    <row r="1257" spans="1:8" x14ac:dyDescent="0.2">
      <c r="A1257" s="210">
        <v>1825200540</v>
      </c>
      <c r="B1257" s="210" t="s">
        <v>859</v>
      </c>
      <c r="C1257" s="219">
        <f>400*12</f>
        <v>4800</v>
      </c>
      <c r="D1257" s="211">
        <v>6000</v>
      </c>
      <c r="E1257" s="211">
        <v>1510.02</v>
      </c>
      <c r="F1257" s="211">
        <v>6427.34</v>
      </c>
      <c r="G1257" s="211">
        <v>6813.05</v>
      </c>
      <c r="H1257" s="211">
        <v>7606.88</v>
      </c>
    </row>
    <row r="1258" spans="1:8" x14ac:dyDescent="0.2">
      <c r="A1258" s="210">
        <v>1825200550</v>
      </c>
      <c r="B1258" s="210" t="s">
        <v>860</v>
      </c>
      <c r="C1258" s="219">
        <v>9500</v>
      </c>
      <c r="D1258" s="211">
        <v>25000</v>
      </c>
      <c r="E1258" s="211">
        <v>11429</v>
      </c>
      <c r="F1258" s="211">
        <v>27504</v>
      </c>
      <c r="G1258" s="211">
        <v>29705</v>
      </c>
      <c r="H1258" s="211">
        <v>35042.99</v>
      </c>
    </row>
    <row r="1259" spans="1:8" x14ac:dyDescent="0.2">
      <c r="A1259" s="210">
        <v>1825200560</v>
      </c>
      <c r="B1259" s="210" t="s">
        <v>861</v>
      </c>
      <c r="C1259" s="219">
        <f>8000+131*12</f>
        <v>9572</v>
      </c>
      <c r="D1259" s="211">
        <v>7000</v>
      </c>
      <c r="E1259" s="211">
        <v>3953.04</v>
      </c>
      <c r="F1259" s="211">
        <v>10241.75</v>
      </c>
      <c r="G1259" s="211">
        <v>15558.09</v>
      </c>
      <c r="H1259" s="211">
        <v>15417.57</v>
      </c>
    </row>
    <row r="1260" spans="1:8" x14ac:dyDescent="0.2">
      <c r="A1260" s="210">
        <v>1825200570</v>
      </c>
      <c r="B1260" s="210" t="s">
        <v>1625</v>
      </c>
      <c r="C1260" s="219">
        <f>200*1.17*12</f>
        <v>2808</v>
      </c>
      <c r="E1260" s="211">
        <v>2419.9</v>
      </c>
    </row>
    <row r="1261" spans="1:8" x14ac:dyDescent="0.2">
      <c r="A1261" s="210">
        <v>1825200720</v>
      </c>
      <c r="B1261" s="210" t="s">
        <v>862</v>
      </c>
      <c r="C1261" s="219">
        <v>4000</v>
      </c>
      <c r="D1261" s="211">
        <v>3500</v>
      </c>
      <c r="F1261" s="211">
        <v>2596</v>
      </c>
      <c r="G1261" s="211">
        <v>2500</v>
      </c>
      <c r="H1261" s="211">
        <v>5000</v>
      </c>
    </row>
    <row r="1262" spans="1:8" x14ac:dyDescent="0.2">
      <c r="A1262" s="210">
        <v>1825200732</v>
      </c>
      <c r="B1262" s="210" t="s">
        <v>863</v>
      </c>
      <c r="C1262" s="219">
        <v>30000</v>
      </c>
      <c r="D1262" s="211">
        <v>30000</v>
      </c>
      <c r="E1262" s="211">
        <v>12930</v>
      </c>
      <c r="F1262" s="211">
        <v>29097</v>
      </c>
      <c r="G1262" s="211">
        <v>26055</v>
      </c>
      <c r="H1262" s="211">
        <v>48027</v>
      </c>
    </row>
    <row r="1263" spans="1:8" x14ac:dyDescent="0.2">
      <c r="A1263" s="210">
        <v>1825200740</v>
      </c>
      <c r="B1263" s="210" t="s">
        <v>737</v>
      </c>
      <c r="C1263" s="219">
        <v>12000</v>
      </c>
      <c r="D1263" s="211">
        <v>15000</v>
      </c>
      <c r="E1263" s="211">
        <v>6023.9</v>
      </c>
      <c r="F1263" s="211">
        <v>15200</v>
      </c>
      <c r="G1263" s="211">
        <v>19918</v>
      </c>
      <c r="H1263" s="211">
        <v>18931</v>
      </c>
    </row>
    <row r="1264" spans="1:8" x14ac:dyDescent="0.2">
      <c r="A1264" s="210">
        <v>1825200750</v>
      </c>
      <c r="B1264" s="210" t="s">
        <v>864</v>
      </c>
      <c r="C1264" s="219">
        <f>85000-131*12</f>
        <v>83428</v>
      </c>
      <c r="D1264" s="211">
        <v>90000</v>
      </c>
      <c r="E1264" s="211">
        <v>43516.3</v>
      </c>
      <c r="F1264" s="211">
        <v>49127.82</v>
      </c>
      <c r="G1264" s="211">
        <v>202061.43</v>
      </c>
      <c r="H1264" s="211">
        <v>218042.37</v>
      </c>
    </row>
    <row r="1265" spans="1:8" x14ac:dyDescent="0.2">
      <c r="A1265" s="210">
        <v>1825200760</v>
      </c>
      <c r="B1265" s="210" t="s">
        <v>1626</v>
      </c>
      <c r="C1265" s="219">
        <v>0</v>
      </c>
      <c r="D1265" s="211">
        <v>19000</v>
      </c>
      <c r="E1265" s="211">
        <v>10374.32</v>
      </c>
      <c r="F1265" s="211">
        <v>3149.98</v>
      </c>
    </row>
    <row r="1266" spans="1:8" x14ac:dyDescent="0.2">
      <c r="A1266" s="210">
        <v>1825200780</v>
      </c>
      <c r="B1266" s="210" t="s">
        <v>865</v>
      </c>
      <c r="C1266" s="219">
        <v>35000</v>
      </c>
      <c r="D1266" s="211">
        <v>35100</v>
      </c>
      <c r="E1266" s="211">
        <v>29752.93</v>
      </c>
      <c r="F1266" s="211">
        <v>24250.15</v>
      </c>
      <c r="G1266" s="211">
        <v>46142</v>
      </c>
      <c r="H1266" s="211">
        <v>60682.400000000001</v>
      </c>
    </row>
    <row r="1267" spans="1:8" x14ac:dyDescent="0.2">
      <c r="A1267" s="210">
        <v>1825200785</v>
      </c>
      <c r="B1267" s="210" t="s">
        <v>866</v>
      </c>
      <c r="C1267" s="220">
        <v>0</v>
      </c>
      <c r="D1267" s="211">
        <v>30000</v>
      </c>
      <c r="G1267" s="211">
        <v>37340</v>
      </c>
      <c r="H1267" s="211">
        <v>77320</v>
      </c>
    </row>
    <row r="1268" spans="1:8" x14ac:dyDescent="0.2">
      <c r="A1268" s="210">
        <v>1825200786</v>
      </c>
      <c r="B1268" s="210" t="s">
        <v>867</v>
      </c>
      <c r="C1268" s="219">
        <v>31000</v>
      </c>
      <c r="D1268" s="211">
        <v>31000</v>
      </c>
      <c r="E1268" s="211">
        <v>16143</v>
      </c>
      <c r="F1268" s="211">
        <v>42943</v>
      </c>
      <c r="G1268" s="211">
        <v>47148</v>
      </c>
      <c r="H1268" s="211">
        <v>64997</v>
      </c>
    </row>
    <row r="1269" spans="1:8" x14ac:dyDescent="0.2">
      <c r="A1269" s="210">
        <v>1825200910</v>
      </c>
      <c r="B1269" s="210" t="s">
        <v>84</v>
      </c>
      <c r="C1269" s="219"/>
      <c r="H1269" s="211">
        <v>180000</v>
      </c>
    </row>
    <row r="1270" spans="1:8" x14ac:dyDescent="0.2">
      <c r="A1270" s="210">
        <v>1825200930</v>
      </c>
      <c r="B1270" s="210" t="s">
        <v>868</v>
      </c>
      <c r="C1270" s="219">
        <v>16000</v>
      </c>
      <c r="D1270" s="211">
        <v>20000</v>
      </c>
      <c r="F1270" s="211">
        <v>25489</v>
      </c>
      <c r="G1270" s="211">
        <v>4500</v>
      </c>
      <c r="H1270" s="211">
        <v>40000</v>
      </c>
    </row>
    <row r="1271" spans="1:8" x14ac:dyDescent="0.2">
      <c r="A1271" s="210">
        <v>1826200430</v>
      </c>
      <c r="B1271" s="210" t="s">
        <v>869</v>
      </c>
      <c r="C1271" s="219"/>
      <c r="H1271" s="211">
        <v>153.97999999999999</v>
      </c>
    </row>
    <row r="1272" spans="1:8" x14ac:dyDescent="0.2">
      <c r="A1272" s="210">
        <v>1826200432</v>
      </c>
      <c r="B1272" s="210" t="s">
        <v>870</v>
      </c>
      <c r="C1272" s="219"/>
    </row>
    <row r="1273" spans="1:8" x14ac:dyDescent="0.2">
      <c r="A1273" s="210">
        <v>1826200540</v>
      </c>
      <c r="B1273" s="210" t="s">
        <v>181</v>
      </c>
      <c r="C1273" s="219"/>
    </row>
    <row r="1274" spans="1:8" x14ac:dyDescent="0.2">
      <c r="A1274" s="210">
        <v>1826200780</v>
      </c>
      <c r="B1274" s="210" t="s">
        <v>871</v>
      </c>
      <c r="C1274" s="219"/>
    </row>
    <row r="1275" spans="1:8" x14ac:dyDescent="0.2">
      <c r="A1275" s="210">
        <v>1826200830</v>
      </c>
      <c r="B1275" s="210" t="s">
        <v>872</v>
      </c>
      <c r="C1275" s="219">
        <v>45000</v>
      </c>
      <c r="D1275" s="211">
        <v>45000</v>
      </c>
      <c r="E1275" s="211">
        <v>45000</v>
      </c>
      <c r="F1275" s="211">
        <v>45000</v>
      </c>
      <c r="G1275" s="211">
        <v>45000</v>
      </c>
      <c r="H1275" s="211">
        <v>45000</v>
      </c>
    </row>
    <row r="1276" spans="1:8" x14ac:dyDescent="0.2">
      <c r="A1276" s="210">
        <v>1826400410</v>
      </c>
      <c r="B1276" s="210" t="s">
        <v>873</v>
      </c>
      <c r="C1276" s="219">
        <v>0</v>
      </c>
      <c r="D1276" s="211">
        <v>97000</v>
      </c>
      <c r="E1276" s="211">
        <v>97000.2</v>
      </c>
      <c r="F1276" s="211">
        <v>159872.42000000001</v>
      </c>
      <c r="G1276" s="211">
        <v>206428.09</v>
      </c>
      <c r="H1276" s="211">
        <v>170656</v>
      </c>
    </row>
    <row r="1277" spans="1:8" x14ac:dyDescent="0.2">
      <c r="A1277" s="210">
        <v>1826400430</v>
      </c>
      <c r="B1277" s="210" t="s">
        <v>874</v>
      </c>
      <c r="C1277" s="219">
        <f>25000+25000</f>
        <v>50000</v>
      </c>
      <c r="D1277" s="211">
        <v>55000</v>
      </c>
      <c r="E1277" s="211">
        <v>25878</v>
      </c>
      <c r="F1277" s="211">
        <v>56493.83</v>
      </c>
      <c r="G1277" s="211">
        <v>60661.96</v>
      </c>
      <c r="H1277" s="211">
        <v>17300</v>
      </c>
    </row>
    <row r="1278" spans="1:8" x14ac:dyDescent="0.2">
      <c r="A1278" s="210">
        <v>1826400540</v>
      </c>
      <c r="B1278" s="210" t="s">
        <v>875</v>
      </c>
      <c r="C1278" s="219">
        <f>300*12</f>
        <v>3600</v>
      </c>
      <c r="D1278" s="211">
        <v>3300</v>
      </c>
      <c r="E1278" s="211">
        <v>875.08</v>
      </c>
      <c r="F1278" s="211">
        <v>2980.76</v>
      </c>
      <c r="G1278" s="211">
        <v>3124.6</v>
      </c>
      <c r="H1278" s="211">
        <v>3351.71</v>
      </c>
    </row>
    <row r="1279" spans="1:8" x14ac:dyDescent="0.2">
      <c r="A1279" s="210">
        <v>1826500780</v>
      </c>
      <c r="B1279" s="210" t="s">
        <v>876</v>
      </c>
      <c r="C1279" s="219">
        <v>65000</v>
      </c>
      <c r="D1279" s="211">
        <v>52000</v>
      </c>
      <c r="E1279" s="211">
        <v>47631.57</v>
      </c>
      <c r="F1279" s="211">
        <v>39032.339999999997</v>
      </c>
      <c r="G1279" s="211">
        <v>43561.36</v>
      </c>
      <c r="H1279" s="211">
        <v>26148.77</v>
      </c>
    </row>
    <row r="1280" spans="1:8" x14ac:dyDescent="0.2">
      <c r="A1280" s="210">
        <v>1829000780</v>
      </c>
      <c r="B1280" s="210" t="s">
        <v>877</v>
      </c>
      <c r="C1280" s="219"/>
    </row>
    <row r="1281" spans="1:8" x14ac:dyDescent="0.2">
      <c r="A1281" s="210">
        <v>1829200750</v>
      </c>
      <c r="B1281" s="210" t="s">
        <v>878</v>
      </c>
      <c r="C1281" s="219">
        <v>900000</v>
      </c>
      <c r="D1281" s="211">
        <v>900000</v>
      </c>
      <c r="E1281" s="211">
        <v>684163.84</v>
      </c>
      <c r="F1281" s="211">
        <v>903067.06</v>
      </c>
      <c r="G1281" s="211">
        <v>1118714</v>
      </c>
      <c r="H1281" s="211">
        <v>1351175</v>
      </c>
    </row>
    <row r="1282" spans="1:8" x14ac:dyDescent="0.2">
      <c r="A1282" s="210">
        <v>1829200751</v>
      </c>
      <c r="B1282" s="210" t="s">
        <v>1545</v>
      </c>
      <c r="C1282" s="219">
        <v>130000</v>
      </c>
      <c r="D1282" s="211">
        <v>126500</v>
      </c>
      <c r="E1282" s="211">
        <v>42166.8</v>
      </c>
    </row>
    <row r="1283" spans="1:8" x14ac:dyDescent="0.2">
      <c r="A1283" s="210">
        <v>1829200752</v>
      </c>
      <c r="B1283" s="226" t="s">
        <v>1662</v>
      </c>
      <c r="C1283" s="219">
        <f>1540*1.17*12</f>
        <v>21621.599999999999</v>
      </c>
    </row>
    <row r="1284" spans="1:8" x14ac:dyDescent="0.2">
      <c r="A1284" s="210">
        <v>1829300110</v>
      </c>
      <c r="B1284" s="210" t="s">
        <v>536</v>
      </c>
      <c r="C1284" s="219">
        <v>66454</v>
      </c>
      <c r="D1284" s="211">
        <v>222417</v>
      </c>
      <c r="E1284" s="211">
        <v>158885.47</v>
      </c>
      <c r="F1284" s="211">
        <v>226507.4</v>
      </c>
      <c r="G1284" s="211">
        <v>193531.34</v>
      </c>
      <c r="H1284" s="211">
        <v>243152.59</v>
      </c>
    </row>
    <row r="1285" spans="1:8" x14ac:dyDescent="0.2">
      <c r="A1285" s="210">
        <v>1829300210</v>
      </c>
      <c r="B1285" s="210" t="s">
        <v>251</v>
      </c>
      <c r="C1285" s="219"/>
      <c r="D1285" s="211">
        <v>45871</v>
      </c>
      <c r="E1285" s="211">
        <v>49420.89</v>
      </c>
      <c r="F1285" s="211">
        <v>46911.16</v>
      </c>
      <c r="G1285" s="211">
        <v>40330.68</v>
      </c>
      <c r="H1285" s="211">
        <v>6003.74</v>
      </c>
    </row>
    <row r="1286" spans="1:8" x14ac:dyDescent="0.2">
      <c r="A1286" s="210">
        <v>1829900110</v>
      </c>
      <c r="B1286" s="210" t="s">
        <v>537</v>
      </c>
      <c r="C1286" s="219">
        <v>164974</v>
      </c>
      <c r="D1286" s="211">
        <v>139489</v>
      </c>
      <c r="E1286" s="211">
        <v>115531.9</v>
      </c>
      <c r="F1286" s="211">
        <v>145040.37</v>
      </c>
      <c r="G1286" s="211">
        <v>105558.49</v>
      </c>
      <c r="H1286" s="211">
        <v>114943.9</v>
      </c>
    </row>
    <row r="1287" spans="1:8" x14ac:dyDescent="0.2">
      <c r="A1287" s="210">
        <v>1829900210</v>
      </c>
      <c r="B1287" s="210" t="s">
        <v>252</v>
      </c>
      <c r="C1287" s="219"/>
    </row>
    <row r="1288" spans="1:8" x14ac:dyDescent="0.2">
      <c r="A1288" s="210">
        <v>1829900430</v>
      </c>
      <c r="B1288" s="210" t="s">
        <v>1154</v>
      </c>
      <c r="C1288" s="219">
        <f>88000+35000</f>
        <v>123000</v>
      </c>
      <c r="D1288" s="211">
        <v>145000</v>
      </c>
      <c r="E1288" s="211">
        <v>76698.69</v>
      </c>
      <c r="F1288" s="211">
        <v>140601.67000000001</v>
      </c>
      <c r="G1288" s="211">
        <v>157754.10999999999</v>
      </c>
      <c r="H1288" s="211">
        <v>142686.16</v>
      </c>
    </row>
    <row r="1289" spans="1:8" x14ac:dyDescent="0.2">
      <c r="A1289" s="210">
        <v>1829900431</v>
      </c>
      <c r="B1289" s="210" t="s">
        <v>1546</v>
      </c>
      <c r="C1289" s="219">
        <v>30000</v>
      </c>
      <c r="D1289" s="211">
        <v>50000</v>
      </c>
      <c r="E1289" s="211">
        <v>4052.79</v>
      </c>
    </row>
    <row r="1290" spans="1:8" x14ac:dyDescent="0.2">
      <c r="A1290" s="210">
        <v>1829900750</v>
      </c>
      <c r="B1290" s="210" t="s">
        <v>879</v>
      </c>
      <c r="C1290" s="219">
        <v>300000</v>
      </c>
      <c r="D1290" s="211">
        <v>760000</v>
      </c>
      <c r="E1290" s="211">
        <v>460000</v>
      </c>
      <c r="F1290" s="211">
        <v>303117</v>
      </c>
      <c r="G1290" s="211">
        <v>374160</v>
      </c>
      <c r="H1290" s="211">
        <v>228180</v>
      </c>
    </row>
    <row r="1291" spans="1:8" x14ac:dyDescent="0.2">
      <c r="A1291" s="210">
        <v>1829900751</v>
      </c>
      <c r="B1291" s="210" t="s">
        <v>1488</v>
      </c>
      <c r="C1291" s="220" t="s">
        <v>1639</v>
      </c>
      <c r="F1291" s="211">
        <v>2201165.39</v>
      </c>
    </row>
    <row r="1292" spans="1:8" x14ac:dyDescent="0.2">
      <c r="A1292" s="210">
        <v>1829900810</v>
      </c>
      <c r="B1292" s="210" t="s">
        <v>794</v>
      </c>
      <c r="C1292" s="219">
        <f>3000000+2000000-1000000-500000</f>
        <v>3500000</v>
      </c>
      <c r="D1292" s="211">
        <v>4539545</v>
      </c>
      <c r="E1292" s="211">
        <v>4397500</v>
      </c>
      <c r="F1292" s="211">
        <v>7750001</v>
      </c>
      <c r="G1292" s="211">
        <v>6199999</v>
      </c>
      <c r="H1292" s="211">
        <v>2300001</v>
      </c>
    </row>
    <row r="1293" spans="1:8" x14ac:dyDescent="0.2">
      <c r="A1293" s="210">
        <v>1829900811</v>
      </c>
      <c r="B1293" s="210" t="s">
        <v>880</v>
      </c>
      <c r="C1293" s="219">
        <f>80*12+25*12</f>
        <v>1260</v>
      </c>
      <c r="D1293" s="211">
        <v>15000</v>
      </c>
      <c r="E1293" s="211">
        <v>105.76</v>
      </c>
      <c r="F1293" s="211">
        <v>1650.81</v>
      </c>
      <c r="G1293" s="211">
        <v>1652.43</v>
      </c>
      <c r="H1293" s="211">
        <v>1556.24</v>
      </c>
    </row>
    <row r="1294" spans="1:8" x14ac:dyDescent="0.2">
      <c r="A1294" s="210">
        <v>1829900910</v>
      </c>
      <c r="B1294" s="210" t="s">
        <v>881</v>
      </c>
      <c r="C1294" s="219"/>
    </row>
    <row r="1295" spans="1:8" x14ac:dyDescent="0.2">
      <c r="A1295" s="210">
        <v>1829910810</v>
      </c>
      <c r="B1295" s="210" t="s">
        <v>882</v>
      </c>
      <c r="C1295" s="219">
        <v>257000</v>
      </c>
      <c r="D1295" s="211">
        <v>257000</v>
      </c>
      <c r="G1295" s="211">
        <v>100000</v>
      </c>
    </row>
    <row r="1296" spans="1:8" x14ac:dyDescent="0.2">
      <c r="A1296" s="210">
        <v>1836100810</v>
      </c>
      <c r="B1296" s="210" t="s">
        <v>883</v>
      </c>
      <c r="C1296" s="219">
        <v>180000</v>
      </c>
      <c r="D1296" s="211">
        <v>180000</v>
      </c>
      <c r="E1296" s="211">
        <v>180000</v>
      </c>
      <c r="F1296" s="211">
        <v>180000</v>
      </c>
      <c r="G1296" s="211">
        <v>180000</v>
      </c>
      <c r="H1296" s="211">
        <v>180000</v>
      </c>
    </row>
    <row r="1297" spans="1:8" x14ac:dyDescent="0.2">
      <c r="A1297" s="210">
        <v>1839000810</v>
      </c>
      <c r="B1297" s="210" t="s">
        <v>794</v>
      </c>
      <c r="C1297" s="219"/>
    </row>
    <row r="1298" spans="1:8" x14ac:dyDescent="0.2">
      <c r="A1298" s="210">
        <v>1839001810</v>
      </c>
      <c r="B1298" s="210" t="s">
        <v>182</v>
      </c>
      <c r="C1298" s="219"/>
    </row>
    <row r="1299" spans="1:8" x14ac:dyDescent="0.2">
      <c r="A1299" s="210">
        <v>1840000399</v>
      </c>
      <c r="B1299" s="210" t="s">
        <v>24</v>
      </c>
      <c r="C1299" s="219"/>
    </row>
    <row r="1300" spans="1:8" x14ac:dyDescent="0.2">
      <c r="A1300" s="210">
        <v>1840000910</v>
      </c>
      <c r="B1300" s="210" t="s">
        <v>741</v>
      </c>
      <c r="C1300" s="219"/>
      <c r="F1300" s="211">
        <v>15590</v>
      </c>
      <c r="G1300" s="211">
        <v>7588</v>
      </c>
    </row>
    <row r="1301" spans="1:8" x14ac:dyDescent="0.2">
      <c r="A1301" s="210">
        <v>1840000981</v>
      </c>
      <c r="B1301" s="210" t="s">
        <v>74</v>
      </c>
      <c r="C1301" s="219"/>
      <c r="G1301" s="211">
        <v>994</v>
      </c>
    </row>
    <row r="1302" spans="1:8" x14ac:dyDescent="0.2">
      <c r="A1302" s="210">
        <v>1841000110</v>
      </c>
      <c r="B1302" s="210" t="s">
        <v>401</v>
      </c>
      <c r="C1302" s="219">
        <v>8530220</v>
      </c>
      <c r="D1302" s="211">
        <v>9054966</v>
      </c>
      <c r="E1302" s="211">
        <v>6865010.0499999998</v>
      </c>
      <c r="F1302" s="211">
        <v>8737003.0700000003</v>
      </c>
      <c r="G1302" s="211">
        <v>8012514.7599999998</v>
      </c>
      <c r="H1302" s="211">
        <v>7714729.5199999996</v>
      </c>
    </row>
    <row r="1303" spans="1:8" x14ac:dyDescent="0.2">
      <c r="A1303" s="210">
        <v>1841000210</v>
      </c>
      <c r="B1303" s="210" t="s">
        <v>1011</v>
      </c>
      <c r="C1303" s="219">
        <v>107284</v>
      </c>
      <c r="D1303" s="211">
        <v>841526</v>
      </c>
      <c r="E1303" s="211">
        <v>527078.91</v>
      </c>
      <c r="F1303" s="211">
        <v>634886.69999999995</v>
      </c>
      <c r="G1303" s="211">
        <v>363670</v>
      </c>
      <c r="H1303" s="211">
        <v>144292.76</v>
      </c>
    </row>
    <row r="1304" spans="1:8" x14ac:dyDescent="0.2">
      <c r="A1304" s="210">
        <v>1841000511</v>
      </c>
      <c r="B1304" s="210" t="s">
        <v>790</v>
      </c>
      <c r="C1304" s="219">
        <v>11000</v>
      </c>
      <c r="D1304" s="211">
        <v>9500</v>
      </c>
      <c r="E1304" s="211">
        <v>4750</v>
      </c>
      <c r="F1304" s="211">
        <v>6698.7</v>
      </c>
      <c r="G1304" s="211">
        <v>9050</v>
      </c>
      <c r="H1304" s="211">
        <v>13451.31</v>
      </c>
    </row>
    <row r="1305" spans="1:8" x14ac:dyDescent="0.2">
      <c r="A1305" s="210">
        <v>1841000512</v>
      </c>
      <c r="B1305" s="210" t="s">
        <v>183</v>
      </c>
      <c r="C1305" s="219"/>
    </row>
    <row r="1306" spans="1:8" x14ac:dyDescent="0.2">
      <c r="A1306" s="210">
        <v>1841000540</v>
      </c>
      <c r="B1306" s="210" t="s">
        <v>184</v>
      </c>
      <c r="C1306" s="219"/>
    </row>
    <row r="1307" spans="1:8" x14ac:dyDescent="0.2">
      <c r="A1307" s="210">
        <v>1841000560</v>
      </c>
      <c r="B1307" s="210" t="s">
        <v>966</v>
      </c>
      <c r="C1307" s="219">
        <v>12600</v>
      </c>
      <c r="D1307" s="211">
        <v>18000</v>
      </c>
      <c r="E1307" s="211">
        <v>9414.6299999999992</v>
      </c>
      <c r="F1307" s="211">
        <v>17323.41</v>
      </c>
      <c r="G1307" s="211">
        <v>13643.68</v>
      </c>
      <c r="H1307" s="211">
        <v>24588.71</v>
      </c>
    </row>
    <row r="1308" spans="1:8" x14ac:dyDescent="0.2">
      <c r="A1308" s="210">
        <v>1841000570</v>
      </c>
      <c r="B1308" s="210" t="s">
        <v>1023</v>
      </c>
      <c r="C1308" s="219">
        <f>1512*12</f>
        <v>18144</v>
      </c>
      <c r="D1308" s="211">
        <v>13800</v>
      </c>
      <c r="E1308" s="211">
        <v>5666.24</v>
      </c>
      <c r="F1308" s="211">
        <v>9886.32</v>
      </c>
      <c r="G1308" s="211">
        <v>9776.64</v>
      </c>
      <c r="H1308" s="211">
        <v>13202.54</v>
      </c>
    </row>
    <row r="1309" spans="1:8" x14ac:dyDescent="0.2">
      <c r="A1309" s="210">
        <v>1841000571</v>
      </c>
      <c r="B1309" s="210" t="s">
        <v>590</v>
      </c>
      <c r="C1309" s="219"/>
      <c r="E1309" s="211">
        <v>280</v>
      </c>
      <c r="F1309" s="211">
        <v>7751.22</v>
      </c>
      <c r="G1309" s="211">
        <v>7200</v>
      </c>
    </row>
    <row r="1310" spans="1:8" x14ac:dyDescent="0.2">
      <c r="A1310" s="210">
        <v>1841000580</v>
      </c>
      <c r="B1310" s="210" t="s">
        <v>835</v>
      </c>
      <c r="C1310" s="219">
        <v>75000</v>
      </c>
      <c r="D1310" s="211">
        <v>80000</v>
      </c>
      <c r="E1310" s="211">
        <v>69570.38</v>
      </c>
      <c r="F1310" s="211">
        <v>76048.58</v>
      </c>
      <c r="G1310" s="211">
        <v>80094.66</v>
      </c>
      <c r="H1310" s="211">
        <v>69829.67</v>
      </c>
    </row>
    <row r="1311" spans="1:8" x14ac:dyDescent="0.2">
      <c r="A1311" s="210">
        <v>1841000750</v>
      </c>
      <c r="B1311" s="210" t="s">
        <v>1024</v>
      </c>
      <c r="C1311" s="219">
        <v>7000</v>
      </c>
      <c r="D1311" s="211">
        <v>5500</v>
      </c>
      <c r="E1311" s="211">
        <v>4627.72</v>
      </c>
      <c r="F1311" s="211">
        <v>5061.33</v>
      </c>
      <c r="G1311" s="211">
        <v>3445.68</v>
      </c>
    </row>
    <row r="1312" spans="1:8" x14ac:dyDescent="0.2">
      <c r="A1312" s="210">
        <v>1841000780</v>
      </c>
      <c r="B1312" s="210" t="s">
        <v>1046</v>
      </c>
      <c r="C1312" s="219">
        <v>312</v>
      </c>
      <c r="D1312" s="211">
        <v>300</v>
      </c>
      <c r="E1312" s="211">
        <v>77.22</v>
      </c>
      <c r="F1312" s="211">
        <v>311.52</v>
      </c>
      <c r="G1312" s="211">
        <v>530.26</v>
      </c>
      <c r="H1312" s="211">
        <v>409.19</v>
      </c>
    </row>
    <row r="1313" spans="1:8" x14ac:dyDescent="0.2">
      <c r="A1313" s="210">
        <v>1841000811</v>
      </c>
      <c r="B1313" s="210" t="s">
        <v>185</v>
      </c>
      <c r="C1313" s="219"/>
    </row>
    <row r="1314" spans="1:8" x14ac:dyDescent="0.2">
      <c r="A1314" s="210">
        <v>1841000841</v>
      </c>
      <c r="B1314" s="210" t="s">
        <v>1403</v>
      </c>
      <c r="C1314" s="219"/>
    </row>
    <row r="1315" spans="1:8" x14ac:dyDescent="0.2">
      <c r="A1315" s="210">
        <v>1841000843</v>
      </c>
      <c r="B1315" s="210" t="s">
        <v>402</v>
      </c>
      <c r="C1315" s="219">
        <v>20000</v>
      </c>
      <c r="D1315" s="211">
        <v>20000</v>
      </c>
      <c r="E1315" s="211">
        <v>13031</v>
      </c>
      <c r="F1315" s="211">
        <v>20052.64</v>
      </c>
      <c r="G1315" s="211">
        <v>9238.2099999999991</v>
      </c>
      <c r="H1315" s="211">
        <v>5985.33</v>
      </c>
    </row>
    <row r="1316" spans="1:8" x14ac:dyDescent="0.2">
      <c r="A1316" s="210">
        <v>1841000844</v>
      </c>
      <c r="B1316" s="210" t="s">
        <v>403</v>
      </c>
      <c r="C1316" s="219"/>
    </row>
    <row r="1317" spans="1:8" x14ac:dyDescent="0.2">
      <c r="A1317" s="210">
        <v>1841000845</v>
      </c>
      <c r="B1317" s="210" t="s">
        <v>1404</v>
      </c>
      <c r="C1317" s="219"/>
      <c r="G1317" s="211">
        <v>100</v>
      </c>
    </row>
    <row r="1318" spans="1:8" x14ac:dyDescent="0.2">
      <c r="A1318" s="210">
        <v>1841000846</v>
      </c>
      <c r="B1318" s="210" t="s">
        <v>404</v>
      </c>
      <c r="C1318" s="219">
        <v>30000</v>
      </c>
      <c r="D1318" s="211">
        <v>30000</v>
      </c>
      <c r="E1318" s="211">
        <v>21049.16</v>
      </c>
      <c r="F1318" s="211">
        <v>55127.18</v>
      </c>
      <c r="G1318" s="211">
        <v>14424.92</v>
      </c>
      <c r="H1318" s="211">
        <v>27022.080000000002</v>
      </c>
    </row>
    <row r="1319" spans="1:8" x14ac:dyDescent="0.2">
      <c r="A1319" s="210">
        <v>1841000847</v>
      </c>
      <c r="B1319" s="210" t="s">
        <v>405</v>
      </c>
      <c r="C1319" s="219"/>
    </row>
    <row r="1320" spans="1:8" x14ac:dyDescent="0.2">
      <c r="A1320" s="210">
        <v>1841000848</v>
      </c>
      <c r="B1320" s="210" t="s">
        <v>1487</v>
      </c>
      <c r="C1320" s="219"/>
    </row>
    <row r="1321" spans="1:8" x14ac:dyDescent="0.2">
      <c r="A1321" s="210">
        <v>1841000849</v>
      </c>
      <c r="B1321" s="210" t="s">
        <v>1591</v>
      </c>
      <c r="C1321" s="219"/>
    </row>
    <row r="1322" spans="1:8" x14ac:dyDescent="0.2">
      <c r="A1322" s="210">
        <v>1841000910</v>
      </c>
      <c r="B1322" s="210" t="s">
        <v>704</v>
      </c>
      <c r="C1322" s="219">
        <v>68000</v>
      </c>
      <c r="D1322" s="211">
        <v>68000</v>
      </c>
      <c r="F1322" s="211">
        <v>67113.149999999994</v>
      </c>
      <c r="G1322" s="211">
        <v>55804.480000000003</v>
      </c>
    </row>
    <row r="1323" spans="1:8" x14ac:dyDescent="0.2">
      <c r="A1323" s="210">
        <v>1841000980</v>
      </c>
      <c r="B1323" s="210" t="s">
        <v>652</v>
      </c>
      <c r="C1323" s="219">
        <v>200000</v>
      </c>
      <c r="D1323" s="211">
        <v>200000</v>
      </c>
      <c r="E1323" s="211">
        <v>133870.57</v>
      </c>
      <c r="F1323" s="211">
        <v>191532</v>
      </c>
      <c r="G1323" s="211">
        <v>295807.68</v>
      </c>
      <c r="H1323" s="211">
        <v>349626.82</v>
      </c>
    </row>
    <row r="1324" spans="1:8" x14ac:dyDescent="0.2">
      <c r="A1324" s="210">
        <v>1841000981</v>
      </c>
      <c r="B1324" s="210" t="s">
        <v>1463</v>
      </c>
      <c r="C1324" s="219">
        <v>450000</v>
      </c>
      <c r="D1324" s="211">
        <v>450000</v>
      </c>
      <c r="E1324" s="211">
        <v>267290.52</v>
      </c>
      <c r="F1324" s="211">
        <v>316073.99</v>
      </c>
    </row>
    <row r="1325" spans="1:8" x14ac:dyDescent="0.2">
      <c r="A1325" s="210">
        <v>1841000982</v>
      </c>
      <c r="B1325" s="210" t="s">
        <v>1486</v>
      </c>
      <c r="C1325" s="219"/>
      <c r="F1325" s="211">
        <v>25000</v>
      </c>
    </row>
    <row r="1326" spans="1:8" x14ac:dyDescent="0.2">
      <c r="A1326" s="210">
        <v>1841100750</v>
      </c>
      <c r="B1326" s="210" t="s">
        <v>714</v>
      </c>
      <c r="C1326" s="219">
        <v>100000</v>
      </c>
      <c r="G1326" s="211">
        <v>114444</v>
      </c>
      <c r="H1326" s="211">
        <v>152052</v>
      </c>
    </row>
    <row r="1327" spans="1:8" x14ac:dyDescent="0.2">
      <c r="A1327" s="210">
        <v>1842200840</v>
      </c>
      <c r="B1327" s="210" t="s">
        <v>406</v>
      </c>
      <c r="C1327" s="219">
        <v>150000</v>
      </c>
      <c r="D1327" s="211">
        <v>150000</v>
      </c>
      <c r="E1327" s="211">
        <v>144606</v>
      </c>
      <c r="F1327" s="211">
        <v>174308</v>
      </c>
      <c r="G1327" s="211">
        <v>215790.16</v>
      </c>
      <c r="H1327" s="211">
        <v>155151</v>
      </c>
    </row>
    <row r="1328" spans="1:8" x14ac:dyDescent="0.2">
      <c r="A1328" s="210">
        <v>1842200841</v>
      </c>
      <c r="B1328" s="210" t="s">
        <v>1252</v>
      </c>
      <c r="C1328" s="219"/>
    </row>
    <row r="1329" spans="1:8" x14ac:dyDescent="0.2">
      <c r="A1329" s="210">
        <v>1842200842</v>
      </c>
      <c r="B1329" s="210" t="s">
        <v>1025</v>
      </c>
      <c r="C1329" s="219"/>
    </row>
    <row r="1330" spans="1:8" x14ac:dyDescent="0.2">
      <c r="A1330" s="210">
        <v>1842200843</v>
      </c>
      <c r="B1330" s="210" t="s">
        <v>407</v>
      </c>
      <c r="C1330" s="219">
        <v>160000</v>
      </c>
      <c r="D1330" s="211">
        <v>160000</v>
      </c>
      <c r="E1330" s="211">
        <v>106944</v>
      </c>
      <c r="F1330" s="211">
        <v>190114</v>
      </c>
      <c r="G1330" s="211">
        <v>175105.4</v>
      </c>
      <c r="H1330" s="211">
        <v>153083</v>
      </c>
    </row>
    <row r="1331" spans="1:8" x14ac:dyDescent="0.2">
      <c r="A1331" s="210">
        <v>1842200844</v>
      </c>
      <c r="B1331" s="210" t="s">
        <v>1026</v>
      </c>
      <c r="C1331" s="219">
        <v>27600</v>
      </c>
      <c r="D1331" s="211">
        <v>27900</v>
      </c>
      <c r="E1331" s="211">
        <v>9125</v>
      </c>
      <c r="F1331" s="211">
        <v>19386</v>
      </c>
      <c r="G1331" s="211">
        <v>18155</v>
      </c>
      <c r="H1331" s="211">
        <v>66511</v>
      </c>
    </row>
    <row r="1332" spans="1:8" x14ac:dyDescent="0.2">
      <c r="A1332" s="210">
        <v>1842200845</v>
      </c>
      <c r="B1332" s="210" t="s">
        <v>1405</v>
      </c>
      <c r="C1332" s="219"/>
    </row>
    <row r="1333" spans="1:8" x14ac:dyDescent="0.2">
      <c r="A1333" s="210">
        <v>1842200846</v>
      </c>
      <c r="B1333" s="210" t="s">
        <v>409</v>
      </c>
      <c r="C1333" s="219">
        <v>190168</v>
      </c>
      <c r="D1333" s="211">
        <v>57200</v>
      </c>
      <c r="E1333" s="211">
        <v>269408</v>
      </c>
      <c r="F1333" s="211">
        <v>-24655</v>
      </c>
      <c r="G1333" s="211">
        <v>68792</v>
      </c>
      <c r="H1333" s="211">
        <v>173447</v>
      </c>
    </row>
    <row r="1334" spans="1:8" x14ac:dyDescent="0.2">
      <c r="A1334" s="210">
        <v>1842200847</v>
      </c>
      <c r="B1334" s="210" t="s">
        <v>1485</v>
      </c>
      <c r="C1334" s="219"/>
      <c r="D1334" s="211">
        <v>8764</v>
      </c>
      <c r="F1334" s="211">
        <v>4382</v>
      </c>
    </row>
    <row r="1335" spans="1:8" x14ac:dyDescent="0.2">
      <c r="A1335" s="210">
        <v>1842200848</v>
      </c>
      <c r="B1335" s="210" t="s">
        <v>1406</v>
      </c>
      <c r="C1335" s="219"/>
    </row>
    <row r="1336" spans="1:8" x14ac:dyDescent="0.2">
      <c r="A1336" s="210">
        <v>1842200849</v>
      </c>
      <c r="B1336" s="210" t="s">
        <v>93</v>
      </c>
      <c r="C1336" s="219"/>
    </row>
    <row r="1337" spans="1:8" x14ac:dyDescent="0.2">
      <c r="A1337" s="210">
        <v>1842400110</v>
      </c>
      <c r="B1337" s="223" t="s">
        <v>1653</v>
      </c>
      <c r="C1337" s="219">
        <v>120000</v>
      </c>
    </row>
    <row r="1338" spans="1:8" x14ac:dyDescent="0.2">
      <c r="A1338" s="210">
        <v>1842400840</v>
      </c>
      <c r="B1338" s="210" t="s">
        <v>186</v>
      </c>
      <c r="C1338" s="219"/>
    </row>
    <row r="1339" spans="1:8" x14ac:dyDescent="0.2">
      <c r="A1339" s="210">
        <v>1842400841</v>
      </c>
      <c r="B1339" s="210" t="s">
        <v>410</v>
      </c>
      <c r="C1339" s="219">
        <v>9600</v>
      </c>
      <c r="D1339" s="211">
        <v>9600</v>
      </c>
      <c r="E1339" s="211">
        <v>4800</v>
      </c>
      <c r="F1339" s="211">
        <v>5673.09</v>
      </c>
      <c r="G1339" s="211">
        <v>6800</v>
      </c>
      <c r="H1339" s="211">
        <v>7600</v>
      </c>
    </row>
    <row r="1340" spans="1:8" x14ac:dyDescent="0.2">
      <c r="A1340" s="210">
        <v>1842400843</v>
      </c>
      <c r="B1340" s="210" t="s">
        <v>187</v>
      </c>
      <c r="C1340" s="219"/>
    </row>
    <row r="1341" spans="1:8" x14ac:dyDescent="0.2">
      <c r="A1341" s="210">
        <v>1842400844</v>
      </c>
      <c r="B1341" s="210" t="s">
        <v>1027</v>
      </c>
      <c r="C1341" s="219">
        <v>85000</v>
      </c>
      <c r="D1341" s="211">
        <v>85000</v>
      </c>
      <c r="E1341" s="211">
        <v>33921</v>
      </c>
      <c r="F1341" s="211">
        <v>36000</v>
      </c>
      <c r="G1341" s="211">
        <v>27189.200000000001</v>
      </c>
      <c r="H1341" s="211">
        <v>12147.3</v>
      </c>
    </row>
    <row r="1342" spans="1:8" x14ac:dyDescent="0.2">
      <c r="A1342" s="210">
        <v>1842400845</v>
      </c>
      <c r="B1342" s="210" t="s">
        <v>411</v>
      </c>
      <c r="C1342" s="219">
        <v>123000</v>
      </c>
      <c r="D1342" s="211">
        <v>123144</v>
      </c>
      <c r="E1342" s="211">
        <v>61802.87</v>
      </c>
      <c r="F1342" s="211">
        <v>76121.73</v>
      </c>
      <c r="G1342" s="211">
        <v>82320.17</v>
      </c>
      <c r="H1342" s="211">
        <v>43888.14</v>
      </c>
    </row>
    <row r="1343" spans="1:8" x14ac:dyDescent="0.2">
      <c r="A1343" s="210">
        <v>1842400846</v>
      </c>
      <c r="B1343" s="210" t="s">
        <v>1408</v>
      </c>
      <c r="C1343" s="219"/>
    </row>
    <row r="1344" spans="1:8" x14ac:dyDescent="0.2">
      <c r="A1344" s="210">
        <v>1842400847</v>
      </c>
      <c r="B1344" s="210" t="s">
        <v>1592</v>
      </c>
      <c r="C1344" s="219"/>
      <c r="F1344" s="211">
        <v>-5100</v>
      </c>
    </row>
    <row r="1345" spans="1:8" x14ac:dyDescent="0.2">
      <c r="A1345" s="210">
        <v>1842401840</v>
      </c>
      <c r="B1345" s="210" t="s">
        <v>412</v>
      </c>
      <c r="C1345" s="219">
        <v>162000</v>
      </c>
      <c r="D1345" s="211">
        <v>162000</v>
      </c>
      <c r="E1345" s="211">
        <v>172000</v>
      </c>
      <c r="F1345" s="211">
        <v>162000</v>
      </c>
      <c r="G1345" s="211">
        <v>180000</v>
      </c>
      <c r="H1345" s="211">
        <v>180000</v>
      </c>
    </row>
    <row r="1346" spans="1:8" x14ac:dyDescent="0.2">
      <c r="A1346" s="210">
        <v>1842401841</v>
      </c>
      <c r="B1346" s="223" t="s">
        <v>1652</v>
      </c>
      <c r="C1346" s="219">
        <v>230000</v>
      </c>
      <c r="D1346" s="211">
        <v>230000</v>
      </c>
      <c r="E1346" s="211">
        <v>80772.45</v>
      </c>
    </row>
    <row r="1347" spans="1:8" x14ac:dyDescent="0.2">
      <c r="A1347" s="210">
        <v>1842410110</v>
      </c>
      <c r="B1347" s="223" t="s">
        <v>1654</v>
      </c>
      <c r="C1347" s="219">
        <v>228123</v>
      </c>
    </row>
    <row r="1348" spans="1:8" x14ac:dyDescent="0.2">
      <c r="A1348" s="210">
        <v>1843210110</v>
      </c>
      <c r="B1348" s="210" t="s">
        <v>919</v>
      </c>
      <c r="C1348" s="219"/>
    </row>
    <row r="1349" spans="1:8" x14ac:dyDescent="0.2">
      <c r="A1349" s="210">
        <v>1843500110</v>
      </c>
      <c r="B1349" s="223" t="s">
        <v>1651</v>
      </c>
      <c r="C1349" s="219">
        <v>160005</v>
      </c>
      <c r="D1349" s="211">
        <v>57766</v>
      </c>
    </row>
    <row r="1350" spans="1:8" x14ac:dyDescent="0.2">
      <c r="A1350" s="210">
        <v>1843500210</v>
      </c>
      <c r="B1350" s="210" t="s">
        <v>1483</v>
      </c>
      <c r="C1350" s="219"/>
      <c r="D1350" s="211">
        <v>40896</v>
      </c>
      <c r="E1350" s="211">
        <v>74968.52</v>
      </c>
      <c r="F1350" s="211">
        <v>88240.97</v>
      </c>
      <c r="G1350" s="211">
        <v>84174.25</v>
      </c>
      <c r="H1350" s="211">
        <v>80241.570000000007</v>
      </c>
    </row>
    <row r="1351" spans="1:8" x14ac:dyDescent="0.2">
      <c r="A1351" s="210">
        <v>1843500840</v>
      </c>
      <c r="B1351" s="210" t="s">
        <v>85</v>
      </c>
      <c r="C1351" s="219"/>
      <c r="G1351" s="211">
        <v>107</v>
      </c>
    </row>
    <row r="1352" spans="1:8" x14ac:dyDescent="0.2">
      <c r="A1352" s="210">
        <v>1843500841</v>
      </c>
      <c r="B1352" s="210" t="s">
        <v>413</v>
      </c>
      <c r="C1352" s="219">
        <v>285301</v>
      </c>
      <c r="D1352" s="211">
        <v>242112</v>
      </c>
      <c r="E1352" s="211">
        <v>57436</v>
      </c>
      <c r="F1352" s="211">
        <v>256470</v>
      </c>
      <c r="G1352" s="211">
        <v>212997</v>
      </c>
      <c r="H1352" s="211">
        <v>310717</v>
      </c>
    </row>
    <row r="1353" spans="1:8" x14ac:dyDescent="0.2">
      <c r="A1353" s="210">
        <v>1843500842</v>
      </c>
      <c r="B1353" s="210" t="s">
        <v>414</v>
      </c>
      <c r="C1353" s="219">
        <v>480000</v>
      </c>
      <c r="D1353" s="211">
        <v>480520</v>
      </c>
      <c r="E1353" s="211">
        <v>330816.09000000003</v>
      </c>
      <c r="F1353" s="211">
        <v>713589.77</v>
      </c>
      <c r="G1353" s="211">
        <v>782911</v>
      </c>
      <c r="H1353" s="211">
        <v>777163.69</v>
      </c>
    </row>
    <row r="1354" spans="1:8" x14ac:dyDescent="0.2">
      <c r="A1354" s="210">
        <v>1843500843</v>
      </c>
      <c r="B1354" s="210" t="s">
        <v>1409</v>
      </c>
      <c r="C1354" s="219"/>
    </row>
    <row r="1355" spans="1:8" x14ac:dyDescent="0.2">
      <c r="A1355" s="210">
        <v>1843500844</v>
      </c>
      <c r="B1355" s="210" t="s">
        <v>415</v>
      </c>
      <c r="C1355" s="219">
        <v>90000</v>
      </c>
      <c r="D1355" s="211">
        <v>90000</v>
      </c>
      <c r="E1355" s="211">
        <v>27120</v>
      </c>
      <c r="F1355" s="211">
        <v>46394.58</v>
      </c>
      <c r="G1355" s="211">
        <v>27200</v>
      </c>
      <c r="H1355" s="211">
        <v>49985.88</v>
      </c>
    </row>
    <row r="1356" spans="1:8" x14ac:dyDescent="0.2">
      <c r="A1356" s="210">
        <v>1843500845</v>
      </c>
      <c r="B1356" s="210" t="s">
        <v>416</v>
      </c>
      <c r="C1356" s="219">
        <v>105000</v>
      </c>
      <c r="D1356" s="211">
        <v>105000</v>
      </c>
      <c r="E1356" s="211">
        <v>37400.89</v>
      </c>
      <c r="F1356" s="211">
        <v>156185.5</v>
      </c>
      <c r="G1356" s="211">
        <v>187483.87</v>
      </c>
      <c r="H1356" s="211">
        <v>320245.5</v>
      </c>
    </row>
    <row r="1357" spans="1:8" x14ac:dyDescent="0.2">
      <c r="A1357" s="210">
        <v>1843500847</v>
      </c>
      <c r="B1357" s="210" t="s">
        <v>417</v>
      </c>
      <c r="C1357" s="219">
        <v>20000</v>
      </c>
      <c r="D1357" s="211">
        <v>20000</v>
      </c>
      <c r="E1357" s="211">
        <v>17607</v>
      </c>
      <c r="F1357" s="211">
        <v>11026</v>
      </c>
      <c r="G1357" s="211">
        <v>11278</v>
      </c>
      <c r="H1357" s="211">
        <v>44624</v>
      </c>
    </row>
    <row r="1358" spans="1:8" x14ac:dyDescent="0.2">
      <c r="A1358" s="210">
        <v>1843500848</v>
      </c>
      <c r="B1358" s="210" t="s">
        <v>188</v>
      </c>
      <c r="C1358" s="219"/>
    </row>
    <row r="1359" spans="1:8" x14ac:dyDescent="0.2">
      <c r="A1359" s="210">
        <v>1843500849</v>
      </c>
      <c r="B1359" s="210" t="s">
        <v>418</v>
      </c>
      <c r="C1359" s="219">
        <v>118000</v>
      </c>
      <c r="D1359" s="211">
        <v>118680</v>
      </c>
      <c r="E1359" s="211">
        <v>71095</v>
      </c>
      <c r="F1359" s="211">
        <v>109512</v>
      </c>
      <c r="G1359" s="211">
        <v>61950</v>
      </c>
      <c r="H1359" s="211">
        <v>30930</v>
      </c>
    </row>
    <row r="1360" spans="1:8" x14ac:dyDescent="0.2">
      <c r="A1360" s="210">
        <v>1843500850</v>
      </c>
      <c r="B1360" s="210" t="s">
        <v>58</v>
      </c>
      <c r="C1360" s="219">
        <v>5000</v>
      </c>
      <c r="D1360" s="211">
        <v>5000</v>
      </c>
      <c r="E1360" s="211">
        <v>5034.2700000000004</v>
      </c>
      <c r="F1360" s="211">
        <v>4000</v>
      </c>
    </row>
    <row r="1361" spans="1:8" x14ac:dyDescent="0.2">
      <c r="A1361" s="210">
        <v>1843500851</v>
      </c>
      <c r="B1361" s="210" t="s">
        <v>1593</v>
      </c>
      <c r="C1361" s="219">
        <v>5000</v>
      </c>
      <c r="D1361" s="211">
        <v>5280</v>
      </c>
      <c r="E1361" s="211">
        <v>5280</v>
      </c>
    </row>
    <row r="1362" spans="1:8" x14ac:dyDescent="0.2">
      <c r="A1362" s="210">
        <v>1843510110</v>
      </c>
      <c r="B1362" s="223" t="s">
        <v>1659</v>
      </c>
      <c r="C1362" s="219">
        <v>174214</v>
      </c>
    </row>
    <row r="1363" spans="1:8" x14ac:dyDescent="0.2">
      <c r="A1363" s="210">
        <v>1843800110</v>
      </c>
      <c r="B1363" s="223" t="s">
        <v>1658</v>
      </c>
      <c r="C1363" s="219">
        <v>262421</v>
      </c>
      <c r="D1363" s="211">
        <v>85384</v>
      </c>
      <c r="E1363" s="211">
        <v>74818.63</v>
      </c>
      <c r="F1363" s="211">
        <v>110759.56</v>
      </c>
      <c r="G1363" s="211">
        <v>106795.19</v>
      </c>
      <c r="H1363" s="211">
        <v>122485.29</v>
      </c>
    </row>
    <row r="1364" spans="1:8" x14ac:dyDescent="0.2">
      <c r="A1364" s="210">
        <v>1843800840</v>
      </c>
      <c r="B1364" s="210" t="s">
        <v>419</v>
      </c>
      <c r="C1364" s="219">
        <v>5221704</v>
      </c>
      <c r="D1364" s="211">
        <v>5292000</v>
      </c>
      <c r="E1364" s="211">
        <v>3992367</v>
      </c>
      <c r="F1364" s="211">
        <v>4977220</v>
      </c>
      <c r="G1364" s="211">
        <v>5006641</v>
      </c>
      <c r="H1364" s="211">
        <v>4329443</v>
      </c>
    </row>
    <row r="1365" spans="1:8" x14ac:dyDescent="0.2">
      <c r="A1365" s="210">
        <v>1843800841</v>
      </c>
      <c r="B1365" s="210" t="s">
        <v>189</v>
      </c>
      <c r="C1365" s="219"/>
    </row>
    <row r="1366" spans="1:8" x14ac:dyDescent="0.2">
      <c r="A1366" s="210">
        <v>1843800842</v>
      </c>
      <c r="B1366" s="210" t="s">
        <v>190</v>
      </c>
      <c r="C1366" s="219"/>
      <c r="E1366" s="211">
        <v>139709</v>
      </c>
      <c r="H1366" s="211">
        <v>42682</v>
      </c>
    </row>
    <row r="1367" spans="1:8" x14ac:dyDescent="0.2">
      <c r="A1367" s="210">
        <v>1843800844</v>
      </c>
      <c r="B1367" s="210" t="s">
        <v>191</v>
      </c>
      <c r="C1367" s="219"/>
    </row>
    <row r="1368" spans="1:8" x14ac:dyDescent="0.2">
      <c r="A1368" s="210">
        <v>1843800845</v>
      </c>
      <c r="B1368" s="210" t="s">
        <v>420</v>
      </c>
      <c r="C1368" s="219">
        <v>320000</v>
      </c>
      <c r="D1368" s="211">
        <v>320000</v>
      </c>
      <c r="E1368" s="211">
        <v>102258</v>
      </c>
      <c r="F1368" s="211">
        <v>253399</v>
      </c>
      <c r="G1368" s="211">
        <v>401847</v>
      </c>
      <c r="H1368" s="211">
        <v>228788.47</v>
      </c>
    </row>
    <row r="1369" spans="1:8" x14ac:dyDescent="0.2">
      <c r="A1369" s="210">
        <v>1843900840</v>
      </c>
      <c r="B1369" s="210" t="s">
        <v>421</v>
      </c>
      <c r="C1369" s="219">
        <v>3168000</v>
      </c>
      <c r="D1369" s="211">
        <v>2892000</v>
      </c>
      <c r="E1369" s="211">
        <v>2316849</v>
      </c>
      <c r="F1369" s="211">
        <v>2795935</v>
      </c>
      <c r="G1369" s="211">
        <v>2677430</v>
      </c>
      <c r="H1369" s="211">
        <v>2330055</v>
      </c>
    </row>
    <row r="1370" spans="1:8" x14ac:dyDescent="0.2">
      <c r="A1370" s="210">
        <v>1844000430</v>
      </c>
      <c r="B1370" s="210" t="s">
        <v>1028</v>
      </c>
      <c r="C1370" s="219">
        <v>1752</v>
      </c>
      <c r="D1370" s="211">
        <v>2000</v>
      </c>
      <c r="E1370" s="211">
        <v>803.38</v>
      </c>
      <c r="F1370" s="211">
        <v>2084.1999999999998</v>
      </c>
      <c r="G1370" s="211">
        <v>1698.88</v>
      </c>
      <c r="H1370" s="211">
        <v>1868.14</v>
      </c>
    </row>
    <row r="1371" spans="1:8" x14ac:dyDescent="0.2">
      <c r="A1371" s="210">
        <v>1844300430</v>
      </c>
      <c r="B1371" s="210" t="s">
        <v>192</v>
      </c>
      <c r="C1371" s="219"/>
    </row>
    <row r="1372" spans="1:8" x14ac:dyDescent="0.2">
      <c r="A1372" s="210">
        <v>1844300840</v>
      </c>
      <c r="B1372" s="210" t="s">
        <v>300</v>
      </c>
      <c r="C1372" s="219">
        <v>5482662</v>
      </c>
      <c r="D1372" s="211">
        <v>4980000</v>
      </c>
      <c r="E1372" s="211">
        <v>3939558</v>
      </c>
      <c r="F1372" s="211">
        <v>5054205</v>
      </c>
      <c r="G1372" s="211">
        <v>5153858</v>
      </c>
      <c r="H1372" s="211">
        <v>4916911.18</v>
      </c>
    </row>
    <row r="1373" spans="1:8" x14ac:dyDescent="0.2">
      <c r="A1373" s="210">
        <v>1844300842</v>
      </c>
      <c r="B1373" s="210" t="s">
        <v>59</v>
      </c>
      <c r="C1373" s="219"/>
      <c r="E1373" s="211">
        <v>14520</v>
      </c>
      <c r="G1373" s="211">
        <v>7688</v>
      </c>
      <c r="H1373" s="211">
        <v>7440</v>
      </c>
    </row>
    <row r="1374" spans="1:8" x14ac:dyDescent="0.2">
      <c r="A1374" s="210">
        <v>1844400780</v>
      </c>
      <c r="B1374" s="210" t="s">
        <v>1029</v>
      </c>
      <c r="C1374" s="219">
        <v>60000</v>
      </c>
      <c r="D1374" s="211">
        <v>60000</v>
      </c>
      <c r="G1374" s="211">
        <v>63000</v>
      </c>
      <c r="H1374" s="211">
        <v>75000</v>
      </c>
    </row>
    <row r="1375" spans="1:8" x14ac:dyDescent="0.2">
      <c r="A1375" s="210">
        <v>1844400840</v>
      </c>
      <c r="B1375" s="210" t="s">
        <v>1482</v>
      </c>
      <c r="C1375" s="219">
        <v>80000</v>
      </c>
      <c r="D1375" s="211">
        <v>80000</v>
      </c>
      <c r="E1375" s="211">
        <v>8119</v>
      </c>
      <c r="F1375" s="211">
        <v>28668.41</v>
      </c>
    </row>
    <row r="1376" spans="1:8" x14ac:dyDescent="0.2">
      <c r="A1376" s="210">
        <v>1844400841</v>
      </c>
      <c r="B1376" s="210" t="s">
        <v>422</v>
      </c>
      <c r="C1376" s="219">
        <v>100000</v>
      </c>
      <c r="D1376" s="211">
        <v>127000</v>
      </c>
      <c r="E1376" s="211">
        <v>68816</v>
      </c>
      <c r="F1376" s="211">
        <v>122491</v>
      </c>
      <c r="G1376" s="211">
        <v>149302</v>
      </c>
      <c r="H1376" s="211">
        <v>110000</v>
      </c>
    </row>
    <row r="1377" spans="1:8" x14ac:dyDescent="0.2">
      <c r="A1377" s="210">
        <v>1844400842</v>
      </c>
      <c r="B1377" s="210" t="s">
        <v>423</v>
      </c>
      <c r="C1377" s="219">
        <v>190000</v>
      </c>
      <c r="D1377" s="211">
        <v>190000</v>
      </c>
      <c r="E1377" s="211">
        <v>158112</v>
      </c>
      <c r="F1377" s="211">
        <v>200622</v>
      </c>
      <c r="G1377" s="211">
        <v>162069</v>
      </c>
      <c r="H1377" s="211">
        <v>112151</v>
      </c>
    </row>
    <row r="1378" spans="1:8" x14ac:dyDescent="0.2">
      <c r="A1378" s="210">
        <v>1844400843</v>
      </c>
      <c r="B1378" s="210" t="s">
        <v>1194</v>
      </c>
      <c r="C1378" s="219"/>
      <c r="F1378" s="211">
        <v>-5100</v>
      </c>
      <c r="G1378" s="211">
        <v>19101</v>
      </c>
    </row>
    <row r="1379" spans="1:8" x14ac:dyDescent="0.2">
      <c r="A1379" s="210">
        <v>1844400844</v>
      </c>
      <c r="B1379" s="210" t="s">
        <v>193</v>
      </c>
      <c r="C1379" s="219"/>
      <c r="E1379" s="211">
        <v>-1807.65</v>
      </c>
    </row>
    <row r="1380" spans="1:8" x14ac:dyDescent="0.2">
      <c r="A1380" s="210">
        <v>1844400845</v>
      </c>
      <c r="B1380" s="210" t="s">
        <v>425</v>
      </c>
      <c r="C1380" s="219">
        <v>30000</v>
      </c>
      <c r="D1380" s="211">
        <v>30000</v>
      </c>
      <c r="E1380" s="211">
        <v>23878.62</v>
      </c>
      <c r="F1380" s="211">
        <v>29500.55</v>
      </c>
      <c r="G1380" s="211">
        <v>20074.009999999998</v>
      </c>
      <c r="H1380" s="211">
        <v>25395.94</v>
      </c>
    </row>
    <row r="1381" spans="1:8" x14ac:dyDescent="0.2">
      <c r="A1381" s="210">
        <v>1844400846</v>
      </c>
      <c r="B1381" s="210" t="s">
        <v>60</v>
      </c>
      <c r="C1381" s="219"/>
      <c r="F1381" s="211">
        <v>-750</v>
      </c>
      <c r="G1381" s="211">
        <v>9901</v>
      </c>
    </row>
    <row r="1382" spans="1:8" x14ac:dyDescent="0.2">
      <c r="A1382" s="210">
        <v>1844400849</v>
      </c>
      <c r="B1382" s="210" t="s">
        <v>426</v>
      </c>
      <c r="C1382" s="219">
        <v>288000</v>
      </c>
      <c r="D1382" s="211">
        <v>285012</v>
      </c>
      <c r="E1382" s="211">
        <v>215265</v>
      </c>
      <c r="F1382" s="211">
        <v>340752</v>
      </c>
      <c r="G1382" s="211">
        <v>248803</v>
      </c>
      <c r="H1382" s="211">
        <v>150999.71</v>
      </c>
    </row>
    <row r="1383" spans="1:8" x14ac:dyDescent="0.2">
      <c r="A1383" s="210">
        <v>1844400850</v>
      </c>
      <c r="B1383" s="210" t="s">
        <v>1195</v>
      </c>
      <c r="C1383" s="219"/>
    </row>
    <row r="1384" spans="1:8" x14ac:dyDescent="0.2">
      <c r="A1384" s="210">
        <v>1844400851</v>
      </c>
      <c r="B1384" s="210" t="s">
        <v>1594</v>
      </c>
      <c r="C1384" s="219"/>
    </row>
    <row r="1385" spans="1:8" x14ac:dyDescent="0.2">
      <c r="A1385" s="210">
        <v>1844500840</v>
      </c>
      <c r="B1385" s="210" t="s">
        <v>427</v>
      </c>
      <c r="C1385" s="219">
        <v>674100</v>
      </c>
      <c r="D1385" s="211">
        <v>675000</v>
      </c>
      <c r="E1385" s="211">
        <v>446114</v>
      </c>
      <c r="F1385" s="211">
        <v>567960</v>
      </c>
      <c r="G1385" s="211">
        <v>660174</v>
      </c>
      <c r="H1385" s="211">
        <v>654072</v>
      </c>
    </row>
    <row r="1386" spans="1:8" x14ac:dyDescent="0.2">
      <c r="A1386" s="210">
        <v>1844500843</v>
      </c>
      <c r="B1386" s="222" t="s">
        <v>1650</v>
      </c>
      <c r="C1386" s="219">
        <v>250000</v>
      </c>
      <c r="D1386" s="211">
        <v>258588</v>
      </c>
      <c r="E1386" s="211">
        <v>140000</v>
      </c>
      <c r="F1386" s="211">
        <v>240000</v>
      </c>
      <c r="G1386" s="211">
        <v>200000</v>
      </c>
      <c r="H1386" s="211">
        <v>150000</v>
      </c>
    </row>
    <row r="1387" spans="1:8" x14ac:dyDescent="0.2">
      <c r="A1387" s="210">
        <v>1844500844</v>
      </c>
      <c r="B1387" s="210" t="s">
        <v>428</v>
      </c>
      <c r="C1387" s="219"/>
    </row>
    <row r="1388" spans="1:8" x14ac:dyDescent="0.2">
      <c r="A1388" s="210">
        <v>1844500845</v>
      </c>
      <c r="B1388" s="222" t="s">
        <v>1649</v>
      </c>
      <c r="C1388" s="219">
        <v>252000</v>
      </c>
    </row>
    <row r="1389" spans="1:8" x14ac:dyDescent="0.2">
      <c r="A1389" s="210">
        <v>1845100840</v>
      </c>
      <c r="B1389" s="210" t="s">
        <v>429</v>
      </c>
      <c r="C1389" s="219"/>
      <c r="H1389" s="211">
        <v>10254351</v>
      </c>
    </row>
    <row r="1390" spans="1:8" x14ac:dyDescent="0.2">
      <c r="A1390" s="210">
        <v>1845100841</v>
      </c>
      <c r="B1390" s="210" t="s">
        <v>430</v>
      </c>
      <c r="C1390" s="219"/>
      <c r="H1390" s="211">
        <v>3268100</v>
      </c>
    </row>
    <row r="1391" spans="1:8" x14ac:dyDescent="0.2">
      <c r="A1391" s="210">
        <v>1845100842</v>
      </c>
      <c r="B1391" s="210" t="s">
        <v>431</v>
      </c>
      <c r="C1391" s="219">
        <v>1004220</v>
      </c>
      <c r="D1391" s="211">
        <v>918000</v>
      </c>
      <c r="E1391" s="211">
        <v>716825</v>
      </c>
      <c r="F1391" s="211">
        <v>827931</v>
      </c>
      <c r="G1391" s="211">
        <v>732107</v>
      </c>
      <c r="H1391" s="211">
        <v>729446</v>
      </c>
    </row>
    <row r="1392" spans="1:8" x14ac:dyDescent="0.2">
      <c r="A1392" s="210">
        <v>1845100843</v>
      </c>
      <c r="B1392" s="210" t="s">
        <v>432</v>
      </c>
      <c r="C1392" s="219">
        <v>49920</v>
      </c>
      <c r="D1392" s="211">
        <v>30000</v>
      </c>
      <c r="E1392" s="211">
        <v>36256</v>
      </c>
      <c r="F1392" s="211">
        <v>31169</v>
      </c>
      <c r="G1392" s="211">
        <v>47848</v>
      </c>
      <c r="H1392" s="211">
        <v>53792</v>
      </c>
    </row>
    <row r="1393" spans="1:8" x14ac:dyDescent="0.2">
      <c r="A1393" s="210">
        <v>1845100844</v>
      </c>
      <c r="B1393" s="210" t="s">
        <v>1196</v>
      </c>
      <c r="C1393" s="219">
        <v>16000</v>
      </c>
      <c r="D1393" s="211">
        <v>20000</v>
      </c>
      <c r="F1393" s="211">
        <v>15495</v>
      </c>
      <c r="G1393" s="211">
        <v>4269</v>
      </c>
      <c r="H1393" s="211">
        <v>307</v>
      </c>
    </row>
    <row r="1394" spans="1:8" x14ac:dyDescent="0.2">
      <c r="A1394" s="210">
        <v>1845100845</v>
      </c>
      <c r="B1394" s="210" t="s">
        <v>433</v>
      </c>
      <c r="C1394" s="219">
        <v>28253</v>
      </c>
      <c r="D1394" s="211">
        <v>28440</v>
      </c>
      <c r="E1394" s="211">
        <v>15224</v>
      </c>
      <c r="F1394" s="211">
        <v>25877</v>
      </c>
      <c r="G1394" s="211">
        <v>26298</v>
      </c>
      <c r="H1394" s="211">
        <v>24234</v>
      </c>
    </row>
    <row r="1395" spans="1:8" x14ac:dyDescent="0.2">
      <c r="A1395" s="210">
        <v>1845100846</v>
      </c>
      <c r="B1395" s="210" t="s">
        <v>434</v>
      </c>
      <c r="C1395" s="219">
        <v>300480</v>
      </c>
      <c r="D1395" s="211">
        <v>237600</v>
      </c>
      <c r="E1395" s="211">
        <v>260594</v>
      </c>
      <c r="F1395" s="211">
        <v>230328</v>
      </c>
      <c r="H1395" s="211">
        <v>136822</v>
      </c>
    </row>
    <row r="1396" spans="1:8" x14ac:dyDescent="0.2">
      <c r="A1396" s="210">
        <v>1845100847</v>
      </c>
      <c r="B1396" s="210" t="s">
        <v>94</v>
      </c>
      <c r="C1396" s="219"/>
      <c r="G1396" s="211">
        <v>15290</v>
      </c>
    </row>
    <row r="1397" spans="1:8" x14ac:dyDescent="0.2">
      <c r="A1397" s="210">
        <v>1845100848</v>
      </c>
      <c r="B1397" s="210" t="s">
        <v>1412</v>
      </c>
      <c r="C1397" s="219">
        <v>51600</v>
      </c>
      <c r="D1397" s="211">
        <v>45600</v>
      </c>
      <c r="F1397" s="211">
        <v>45509</v>
      </c>
      <c r="G1397" s="211">
        <v>45351</v>
      </c>
      <c r="H1397" s="211">
        <v>46289</v>
      </c>
    </row>
    <row r="1398" spans="1:8" x14ac:dyDescent="0.2">
      <c r="A1398" s="210">
        <v>1845100849</v>
      </c>
      <c r="B1398" s="210" t="s">
        <v>1413</v>
      </c>
      <c r="C1398" s="219">
        <v>48000</v>
      </c>
      <c r="D1398" s="211">
        <v>20000</v>
      </c>
      <c r="E1398" s="211">
        <v>28955</v>
      </c>
      <c r="F1398" s="211">
        <v>25138</v>
      </c>
      <c r="G1398" s="211">
        <v>5819</v>
      </c>
      <c r="H1398" s="211">
        <v>15233</v>
      </c>
    </row>
    <row r="1399" spans="1:8" x14ac:dyDescent="0.2">
      <c r="A1399" s="210">
        <v>1845100850</v>
      </c>
      <c r="B1399" s="210" t="s">
        <v>61</v>
      </c>
      <c r="C1399" s="219">
        <v>12496800</v>
      </c>
      <c r="D1399" s="211">
        <v>12420600</v>
      </c>
      <c r="E1399" s="211">
        <v>9054297</v>
      </c>
      <c r="F1399" s="211">
        <v>11929367</v>
      </c>
      <c r="G1399" s="211">
        <v>10971424</v>
      </c>
    </row>
    <row r="1400" spans="1:8" x14ac:dyDescent="0.2">
      <c r="A1400" s="210">
        <v>1845100851</v>
      </c>
      <c r="B1400" s="210" t="s">
        <v>86</v>
      </c>
      <c r="C1400" s="219">
        <v>3192000</v>
      </c>
      <c r="D1400" s="211">
        <v>3351600</v>
      </c>
      <c r="E1400" s="211">
        <v>2496110</v>
      </c>
      <c r="F1400" s="211">
        <v>3311271</v>
      </c>
      <c r="G1400" s="211">
        <v>3360181</v>
      </c>
    </row>
    <row r="1401" spans="1:8" x14ac:dyDescent="0.2">
      <c r="A1401" s="210">
        <v>1845100852</v>
      </c>
      <c r="B1401" s="210" t="s">
        <v>1480</v>
      </c>
      <c r="C1401" s="219">
        <v>153792</v>
      </c>
      <c r="D1401" s="211">
        <v>88200</v>
      </c>
      <c r="E1401" s="211">
        <v>55928</v>
      </c>
    </row>
    <row r="1402" spans="1:8" x14ac:dyDescent="0.2">
      <c r="A1402" s="210">
        <v>1845200110</v>
      </c>
      <c r="B1402" s="210" t="s">
        <v>1013</v>
      </c>
      <c r="C1402" s="219">
        <v>354670</v>
      </c>
      <c r="D1402" s="211">
        <v>141244</v>
      </c>
      <c r="E1402" s="211">
        <v>161035.78</v>
      </c>
      <c r="F1402" s="211">
        <v>94044.19</v>
      </c>
      <c r="G1402" s="211">
        <v>77951.649999999994</v>
      </c>
      <c r="H1402" s="211">
        <v>74750.14</v>
      </c>
    </row>
    <row r="1403" spans="1:8" x14ac:dyDescent="0.2">
      <c r="A1403" s="210">
        <v>1845200210</v>
      </c>
      <c r="B1403" s="210" t="s">
        <v>1014</v>
      </c>
      <c r="C1403" s="219">
        <v>91522</v>
      </c>
      <c r="D1403" s="211">
        <v>138389</v>
      </c>
      <c r="E1403" s="211">
        <v>131207.10999999999</v>
      </c>
      <c r="F1403" s="211">
        <v>86180.479999999996</v>
      </c>
      <c r="G1403" s="211">
        <v>233486.1</v>
      </c>
      <c r="H1403" s="211">
        <v>257603.27</v>
      </c>
    </row>
    <row r="1404" spans="1:8" x14ac:dyDescent="0.2">
      <c r="A1404" s="210">
        <v>1845200840</v>
      </c>
      <c r="B1404" s="210" t="s">
        <v>1030</v>
      </c>
      <c r="C1404" s="219"/>
      <c r="G1404" s="211">
        <v>9608</v>
      </c>
      <c r="H1404" s="211">
        <v>51192</v>
      </c>
    </row>
    <row r="1405" spans="1:8" x14ac:dyDescent="0.2">
      <c r="A1405" s="210">
        <v>1845200841</v>
      </c>
      <c r="B1405" s="210" t="s">
        <v>1031</v>
      </c>
      <c r="C1405" s="219">
        <v>1800</v>
      </c>
      <c r="E1405" s="211">
        <v>637.69000000000005</v>
      </c>
      <c r="F1405" s="211">
        <v>4349.2700000000004</v>
      </c>
      <c r="G1405" s="211">
        <v>14674.61</v>
      </c>
      <c r="H1405" s="211">
        <v>341326.89</v>
      </c>
    </row>
    <row r="1406" spans="1:8" x14ac:dyDescent="0.2">
      <c r="A1406" s="210">
        <v>1845200842</v>
      </c>
      <c r="B1406" s="210" t="s">
        <v>1032</v>
      </c>
      <c r="C1406" s="219">
        <v>657300</v>
      </c>
      <c r="D1406" s="211">
        <v>740640</v>
      </c>
      <c r="E1406" s="211">
        <v>471071</v>
      </c>
      <c r="F1406" s="211">
        <v>703896</v>
      </c>
      <c r="G1406" s="211">
        <v>685532</v>
      </c>
      <c r="H1406" s="211">
        <v>631791</v>
      </c>
    </row>
    <row r="1407" spans="1:8" x14ac:dyDescent="0.2">
      <c r="A1407" s="210">
        <v>1845200843</v>
      </c>
      <c r="B1407" s="210" t="s">
        <v>194</v>
      </c>
      <c r="C1407" s="219"/>
    </row>
    <row r="1408" spans="1:8" x14ac:dyDescent="0.2">
      <c r="A1408" s="210">
        <v>1845200844</v>
      </c>
      <c r="B1408" s="210" t="s">
        <v>195</v>
      </c>
      <c r="C1408" s="219"/>
    </row>
    <row r="1409" spans="1:8" x14ac:dyDescent="0.2">
      <c r="A1409" s="210">
        <v>1845200845</v>
      </c>
      <c r="B1409" s="210" t="s">
        <v>438</v>
      </c>
      <c r="C1409" s="219"/>
    </row>
    <row r="1410" spans="1:8" x14ac:dyDescent="0.2">
      <c r="A1410" s="210">
        <v>1845200846</v>
      </c>
      <c r="B1410" s="210" t="s">
        <v>63</v>
      </c>
      <c r="C1410" s="219">
        <v>50000</v>
      </c>
      <c r="D1410" s="211">
        <v>52400</v>
      </c>
      <c r="E1410" s="211">
        <v>23332.37</v>
      </c>
      <c r="F1410" s="211">
        <v>47031.02</v>
      </c>
      <c r="G1410" s="211">
        <v>69733.89</v>
      </c>
    </row>
    <row r="1411" spans="1:8" x14ac:dyDescent="0.2">
      <c r="A1411" s="210">
        <v>1845200847</v>
      </c>
      <c r="B1411" s="210" t="s">
        <v>64</v>
      </c>
      <c r="C1411" s="219">
        <v>823000</v>
      </c>
      <c r="D1411" s="211">
        <v>768000</v>
      </c>
      <c r="E1411" s="211">
        <v>548682</v>
      </c>
      <c r="F1411" s="211">
        <v>593537.17000000004</v>
      </c>
      <c r="G1411" s="211">
        <v>522038.41</v>
      </c>
    </row>
    <row r="1412" spans="1:8" x14ac:dyDescent="0.2">
      <c r="A1412" s="210">
        <v>1845300840</v>
      </c>
      <c r="B1412" s="210" t="s">
        <v>298</v>
      </c>
      <c r="C1412" s="219"/>
      <c r="E1412" s="211">
        <v>2417</v>
      </c>
      <c r="G1412" s="211">
        <v>885</v>
      </c>
      <c r="H1412" s="211">
        <v>42173</v>
      </c>
    </row>
    <row r="1413" spans="1:8" x14ac:dyDescent="0.2">
      <c r="A1413" s="210">
        <v>1845300841</v>
      </c>
      <c r="B1413" s="210" t="s">
        <v>439</v>
      </c>
      <c r="C1413" s="219">
        <v>20000</v>
      </c>
      <c r="D1413" s="211">
        <v>20000</v>
      </c>
      <c r="E1413" s="211">
        <v>8932</v>
      </c>
      <c r="F1413" s="211">
        <v>17106</v>
      </c>
      <c r="G1413" s="211">
        <v>27920</v>
      </c>
      <c r="H1413" s="211">
        <v>25024</v>
      </c>
    </row>
    <row r="1414" spans="1:8" x14ac:dyDescent="0.2">
      <c r="A1414" s="210">
        <v>1845300843</v>
      </c>
      <c r="B1414" s="210" t="s">
        <v>440</v>
      </c>
      <c r="C1414" s="219">
        <v>20000</v>
      </c>
      <c r="G1414" s="211">
        <v>4059</v>
      </c>
      <c r="H1414" s="211">
        <v>26406</v>
      </c>
    </row>
    <row r="1415" spans="1:8" x14ac:dyDescent="0.2">
      <c r="A1415" s="210">
        <v>1845300844</v>
      </c>
      <c r="B1415" s="210" t="s">
        <v>1144</v>
      </c>
      <c r="C1415" s="219"/>
    </row>
    <row r="1416" spans="1:8" x14ac:dyDescent="0.2">
      <c r="A1416" s="210">
        <v>1845300845</v>
      </c>
      <c r="B1416" s="210" t="s">
        <v>441</v>
      </c>
      <c r="C1416" s="219"/>
      <c r="H1416" s="211">
        <v>466394</v>
      </c>
    </row>
    <row r="1417" spans="1:8" x14ac:dyDescent="0.2">
      <c r="A1417" s="210">
        <v>1845300846</v>
      </c>
      <c r="B1417" s="210" t="s">
        <v>87</v>
      </c>
      <c r="C1417" s="219">
        <v>20000</v>
      </c>
      <c r="D1417" s="211">
        <v>40000</v>
      </c>
      <c r="E1417" s="211">
        <v>18440</v>
      </c>
      <c r="F1417" s="211">
        <v>15831</v>
      </c>
      <c r="G1417" s="211">
        <v>-2635.4</v>
      </c>
    </row>
    <row r="1418" spans="1:8" x14ac:dyDescent="0.2">
      <c r="A1418" s="210">
        <v>1845300847</v>
      </c>
      <c r="B1418" s="210" t="s">
        <v>65</v>
      </c>
      <c r="C1418" s="219">
        <f>650000*0.5</f>
        <v>325000</v>
      </c>
      <c r="D1418" s="211">
        <v>650000</v>
      </c>
      <c r="E1418" s="211">
        <v>378249.69</v>
      </c>
      <c r="F1418" s="211">
        <v>649281</v>
      </c>
      <c r="G1418" s="211">
        <v>398918</v>
      </c>
    </row>
    <row r="1419" spans="1:8" x14ac:dyDescent="0.2">
      <c r="A1419" s="210">
        <v>1845300848</v>
      </c>
      <c r="B1419" s="210" t="s">
        <v>66</v>
      </c>
      <c r="C1419" s="219">
        <v>31752</v>
      </c>
      <c r="D1419" s="211">
        <v>35328</v>
      </c>
      <c r="E1419" s="211">
        <v>13386</v>
      </c>
      <c r="F1419" s="211">
        <v>23959</v>
      </c>
      <c r="G1419" s="211">
        <v>21400</v>
      </c>
    </row>
    <row r="1420" spans="1:8" x14ac:dyDescent="0.2">
      <c r="A1420" s="210">
        <v>1846100840</v>
      </c>
      <c r="B1420" s="210" t="s">
        <v>442</v>
      </c>
      <c r="C1420" s="219">
        <v>174000</v>
      </c>
      <c r="D1420" s="211">
        <v>167760</v>
      </c>
      <c r="E1420" s="211">
        <v>129421</v>
      </c>
      <c r="F1420" s="211">
        <v>208580</v>
      </c>
      <c r="G1420" s="211">
        <v>177776</v>
      </c>
      <c r="H1420" s="211">
        <v>115805</v>
      </c>
    </row>
    <row r="1421" spans="1:8" x14ac:dyDescent="0.2">
      <c r="A1421" s="210">
        <v>1846300840</v>
      </c>
      <c r="B1421" s="210" t="s">
        <v>196</v>
      </c>
      <c r="C1421" s="219"/>
    </row>
    <row r="1422" spans="1:8" x14ac:dyDescent="0.2">
      <c r="A1422" s="210">
        <v>1846300841</v>
      </c>
      <c r="B1422" s="210" t="s">
        <v>443</v>
      </c>
      <c r="C1422" s="219">
        <v>63000</v>
      </c>
      <c r="D1422" s="211">
        <v>42237</v>
      </c>
      <c r="E1422" s="211">
        <v>45951</v>
      </c>
      <c r="F1422" s="211">
        <v>42232</v>
      </c>
      <c r="G1422" s="211">
        <v>26283</v>
      </c>
      <c r="H1422" s="211">
        <v>50868</v>
      </c>
    </row>
    <row r="1423" spans="1:8" x14ac:dyDescent="0.2">
      <c r="A1423" s="210">
        <v>1846300843</v>
      </c>
      <c r="B1423" s="210" t="s">
        <v>444</v>
      </c>
      <c r="C1423" s="219">
        <v>13100</v>
      </c>
      <c r="D1423" s="211">
        <v>7800</v>
      </c>
      <c r="E1423" s="211">
        <v>5178.13</v>
      </c>
      <c r="F1423" s="211">
        <v>7521.2</v>
      </c>
      <c r="G1423" s="211">
        <v>13530.85</v>
      </c>
      <c r="H1423" s="211">
        <v>7892.62</v>
      </c>
    </row>
    <row r="1424" spans="1:8" x14ac:dyDescent="0.2">
      <c r="A1424" s="210">
        <v>1846400780</v>
      </c>
      <c r="B1424" s="210" t="s">
        <v>1033</v>
      </c>
      <c r="C1424" s="219">
        <v>7800</v>
      </c>
      <c r="D1424" s="211">
        <v>9000</v>
      </c>
      <c r="E1424" s="211">
        <v>8535.75</v>
      </c>
      <c r="F1424" s="211">
        <v>9233.48</v>
      </c>
      <c r="G1424" s="211">
        <v>9277.6200000000008</v>
      </c>
      <c r="H1424" s="211">
        <v>9911.16</v>
      </c>
    </row>
    <row r="1425" spans="1:8" x14ac:dyDescent="0.2">
      <c r="A1425" s="210">
        <v>1846400840</v>
      </c>
      <c r="B1425" s="210" t="s">
        <v>1415</v>
      </c>
      <c r="C1425" s="219">
        <v>55656</v>
      </c>
      <c r="E1425" s="211">
        <v>7690</v>
      </c>
    </row>
    <row r="1426" spans="1:8" x14ac:dyDescent="0.2">
      <c r="A1426" s="210">
        <v>1846400841</v>
      </c>
      <c r="B1426" s="210" t="s">
        <v>445</v>
      </c>
      <c r="C1426" s="219"/>
      <c r="F1426" s="211">
        <v>9613</v>
      </c>
      <c r="G1426" s="211">
        <v>46660</v>
      </c>
      <c r="H1426" s="211">
        <v>131577</v>
      </c>
    </row>
    <row r="1427" spans="1:8" x14ac:dyDescent="0.2">
      <c r="A1427" s="210">
        <v>1846500840</v>
      </c>
      <c r="B1427" s="210" t="s">
        <v>446</v>
      </c>
      <c r="C1427" s="219">
        <v>3932400</v>
      </c>
      <c r="D1427" s="211">
        <v>3363048</v>
      </c>
      <c r="E1427" s="211">
        <v>2601265</v>
      </c>
      <c r="F1427" s="211">
        <v>3097457</v>
      </c>
      <c r="G1427" s="211">
        <v>2518391</v>
      </c>
      <c r="H1427" s="211">
        <v>2401149</v>
      </c>
    </row>
    <row r="1428" spans="1:8" x14ac:dyDescent="0.2">
      <c r="A1428" s="210">
        <v>1846500841</v>
      </c>
      <c r="B1428" s="210" t="s">
        <v>1416</v>
      </c>
      <c r="C1428" s="219"/>
    </row>
    <row r="1429" spans="1:8" x14ac:dyDescent="0.2">
      <c r="A1429" s="210">
        <v>1846600840</v>
      </c>
      <c r="B1429" s="210" t="s">
        <v>1034</v>
      </c>
      <c r="C1429" s="219">
        <v>79800</v>
      </c>
      <c r="D1429" s="211">
        <v>12480</v>
      </c>
      <c r="E1429" s="211">
        <v>39644</v>
      </c>
      <c r="F1429" s="211">
        <v>14953</v>
      </c>
      <c r="G1429" s="211">
        <v>12361</v>
      </c>
      <c r="H1429" s="211">
        <v>21319</v>
      </c>
    </row>
    <row r="1430" spans="1:8" x14ac:dyDescent="0.2">
      <c r="A1430" s="210">
        <v>1846600841</v>
      </c>
      <c r="B1430" s="210" t="s">
        <v>448</v>
      </c>
      <c r="C1430" s="219">
        <v>163240</v>
      </c>
      <c r="D1430" s="211">
        <v>97920</v>
      </c>
      <c r="E1430" s="211">
        <v>124956</v>
      </c>
      <c r="F1430" s="211">
        <v>101437</v>
      </c>
      <c r="G1430" s="211">
        <v>58156</v>
      </c>
      <c r="H1430" s="211">
        <v>40681</v>
      </c>
    </row>
    <row r="1431" spans="1:8" x14ac:dyDescent="0.2">
      <c r="A1431" s="210">
        <v>1846600843</v>
      </c>
      <c r="B1431" s="210" t="s">
        <v>1479</v>
      </c>
      <c r="C1431" s="219">
        <v>6000</v>
      </c>
      <c r="D1431" s="211">
        <v>6000</v>
      </c>
    </row>
    <row r="1432" spans="1:8" x14ac:dyDescent="0.2">
      <c r="A1432" s="210">
        <v>1846700210</v>
      </c>
      <c r="B1432" s="223" t="s">
        <v>1657</v>
      </c>
      <c r="C1432" s="219">
        <v>130000</v>
      </c>
    </row>
    <row r="1433" spans="1:8" x14ac:dyDescent="0.2">
      <c r="A1433" s="210">
        <v>1846700840</v>
      </c>
      <c r="B1433" s="210" t="s">
        <v>1035</v>
      </c>
      <c r="C1433" s="219">
        <v>35000</v>
      </c>
      <c r="D1433" s="211">
        <v>20000</v>
      </c>
      <c r="E1433" s="211">
        <v>27832</v>
      </c>
      <c r="F1433" s="211">
        <v>2859</v>
      </c>
      <c r="G1433" s="211">
        <v>21978</v>
      </c>
      <c r="H1433" s="211">
        <v>25106</v>
      </c>
    </row>
    <row r="1434" spans="1:8" x14ac:dyDescent="0.2">
      <c r="A1434" s="210">
        <v>1846700841</v>
      </c>
      <c r="B1434" s="210" t="s">
        <v>1417</v>
      </c>
      <c r="C1434" s="219">
        <v>12504</v>
      </c>
      <c r="D1434" s="211">
        <v>12000</v>
      </c>
      <c r="E1434" s="211">
        <v>3102</v>
      </c>
      <c r="G1434" s="211">
        <v>-1660</v>
      </c>
      <c r="H1434" s="211">
        <v>18720</v>
      </c>
    </row>
    <row r="1435" spans="1:8" x14ac:dyDescent="0.2">
      <c r="A1435" s="210">
        <v>1846700843</v>
      </c>
      <c r="B1435" s="210" t="s">
        <v>303</v>
      </c>
      <c r="C1435" s="219">
        <v>385104</v>
      </c>
      <c r="D1435" s="211">
        <v>175572</v>
      </c>
      <c r="E1435" s="211">
        <v>437339</v>
      </c>
      <c r="F1435" s="211">
        <v>244124</v>
      </c>
      <c r="G1435" s="211">
        <v>202045</v>
      </c>
      <c r="H1435" s="211">
        <v>237260</v>
      </c>
    </row>
    <row r="1436" spans="1:8" x14ac:dyDescent="0.2">
      <c r="A1436" s="210">
        <v>1846700844</v>
      </c>
      <c r="B1436" s="210" t="s">
        <v>450</v>
      </c>
      <c r="C1436" s="219">
        <v>320000</v>
      </c>
      <c r="D1436" s="211">
        <v>300000</v>
      </c>
      <c r="E1436" s="211">
        <v>118328</v>
      </c>
      <c r="F1436" s="211">
        <v>268387.94</v>
      </c>
      <c r="G1436" s="211">
        <v>209901.61</v>
      </c>
      <c r="H1436" s="211">
        <v>238742.13</v>
      </c>
    </row>
    <row r="1437" spans="1:8" x14ac:dyDescent="0.2">
      <c r="A1437" s="210">
        <v>1846700845</v>
      </c>
      <c r="B1437" s="210" t="s">
        <v>451</v>
      </c>
      <c r="C1437" s="219"/>
      <c r="G1437" s="211">
        <v>13200</v>
      </c>
      <c r="H1437" s="211">
        <v>82892.84</v>
      </c>
    </row>
    <row r="1438" spans="1:8" x14ac:dyDescent="0.2">
      <c r="A1438" s="210">
        <v>1846700846</v>
      </c>
      <c r="B1438" s="210" t="s">
        <v>452</v>
      </c>
      <c r="C1438" s="219">
        <v>5000</v>
      </c>
      <c r="D1438" s="211">
        <v>15640</v>
      </c>
      <c r="F1438" s="211">
        <v>17376</v>
      </c>
      <c r="G1438" s="211">
        <v>17989</v>
      </c>
    </row>
    <row r="1439" spans="1:8" x14ac:dyDescent="0.2">
      <c r="A1439" s="210">
        <v>1846700847</v>
      </c>
      <c r="B1439" s="210" t="s">
        <v>453</v>
      </c>
      <c r="C1439" s="219"/>
      <c r="H1439" s="211">
        <v>417</v>
      </c>
    </row>
    <row r="1440" spans="1:8" x14ac:dyDescent="0.2">
      <c r="A1440" s="210">
        <v>1846700848</v>
      </c>
      <c r="B1440" s="210" t="s">
        <v>454</v>
      </c>
      <c r="C1440" s="219">
        <v>94857</v>
      </c>
      <c r="D1440" s="211">
        <v>197568</v>
      </c>
      <c r="E1440" s="211">
        <v>84357</v>
      </c>
      <c r="F1440" s="211">
        <v>208304</v>
      </c>
      <c r="G1440" s="211">
        <v>177966</v>
      </c>
      <c r="H1440" s="211">
        <v>69471</v>
      </c>
    </row>
    <row r="1441" spans="1:8" x14ac:dyDescent="0.2">
      <c r="A1441" s="210">
        <v>1846700849</v>
      </c>
      <c r="B1441" s="210" t="s">
        <v>88</v>
      </c>
      <c r="C1441" s="219">
        <v>38280</v>
      </c>
      <c r="D1441" s="211">
        <v>90240</v>
      </c>
      <c r="E1441" s="211">
        <v>76430</v>
      </c>
      <c r="F1441" s="211">
        <v>80039</v>
      </c>
      <c r="G1441" s="211">
        <v>41295</v>
      </c>
    </row>
    <row r="1442" spans="1:8" x14ac:dyDescent="0.2">
      <c r="A1442" s="210">
        <v>1846700850</v>
      </c>
      <c r="B1442" s="210" t="s">
        <v>1595</v>
      </c>
      <c r="C1442" s="219"/>
    </row>
    <row r="1443" spans="1:8" x14ac:dyDescent="0.2">
      <c r="A1443" s="210">
        <v>1846800841</v>
      </c>
      <c r="B1443" s="210" t="s">
        <v>197</v>
      </c>
      <c r="C1443" s="219"/>
    </row>
    <row r="1444" spans="1:8" x14ac:dyDescent="0.2">
      <c r="A1444" s="210">
        <v>1846800842</v>
      </c>
      <c r="B1444" s="210" t="s">
        <v>455</v>
      </c>
      <c r="C1444" s="219">
        <v>18000</v>
      </c>
      <c r="D1444" s="211">
        <v>35000</v>
      </c>
      <c r="E1444" s="211">
        <v>13417</v>
      </c>
      <c r="F1444" s="211">
        <v>40985.54</v>
      </c>
      <c r="G1444" s="211">
        <v>18468</v>
      </c>
      <c r="H1444" s="211">
        <v>9100</v>
      </c>
    </row>
    <row r="1445" spans="1:8" x14ac:dyDescent="0.2">
      <c r="A1445" s="210">
        <v>1846800843</v>
      </c>
      <c r="B1445" s="210" t="s">
        <v>456</v>
      </c>
      <c r="C1445" s="219">
        <v>239088</v>
      </c>
      <c r="D1445" s="211">
        <v>74376</v>
      </c>
      <c r="E1445" s="211">
        <v>55458</v>
      </c>
      <c r="F1445" s="211">
        <v>86676</v>
      </c>
      <c r="G1445" s="211">
        <v>110638</v>
      </c>
      <c r="H1445" s="211">
        <v>103412</v>
      </c>
    </row>
    <row r="1446" spans="1:8" x14ac:dyDescent="0.2">
      <c r="A1446" s="210">
        <v>1846800844</v>
      </c>
      <c r="B1446" s="210" t="s">
        <v>457</v>
      </c>
      <c r="C1446" s="219">
        <v>15000</v>
      </c>
      <c r="D1446" s="211">
        <v>15000</v>
      </c>
      <c r="E1446" s="211">
        <v>3300</v>
      </c>
      <c r="F1446" s="211">
        <v>14450.52</v>
      </c>
      <c r="G1446" s="211">
        <v>23733.88</v>
      </c>
      <c r="H1446" s="211">
        <v>24401.87</v>
      </c>
    </row>
    <row r="1447" spans="1:8" x14ac:dyDescent="0.2">
      <c r="A1447" s="210">
        <v>1846800845</v>
      </c>
      <c r="B1447" s="210" t="s">
        <v>458</v>
      </c>
      <c r="C1447" s="219"/>
      <c r="H1447" s="211">
        <v>140747</v>
      </c>
    </row>
    <row r="1448" spans="1:8" x14ac:dyDescent="0.2">
      <c r="A1448" s="210">
        <v>1846800846</v>
      </c>
      <c r="B1448" s="210" t="s">
        <v>459</v>
      </c>
      <c r="C1448" s="219">
        <v>277944</v>
      </c>
      <c r="D1448" s="211">
        <v>268056</v>
      </c>
      <c r="E1448" s="211">
        <v>88263</v>
      </c>
      <c r="F1448" s="211">
        <v>267790</v>
      </c>
      <c r="G1448" s="211">
        <v>265711</v>
      </c>
      <c r="H1448" s="211">
        <v>256541</v>
      </c>
    </row>
    <row r="1449" spans="1:8" x14ac:dyDescent="0.2">
      <c r="A1449" s="210">
        <v>1846800847</v>
      </c>
      <c r="B1449" s="210" t="s">
        <v>1419</v>
      </c>
      <c r="C1449" s="219"/>
      <c r="H1449" s="211">
        <v>11726</v>
      </c>
    </row>
    <row r="1450" spans="1:8" x14ac:dyDescent="0.2">
      <c r="A1450" s="210">
        <v>1846800848</v>
      </c>
      <c r="B1450" s="210" t="s">
        <v>1627</v>
      </c>
      <c r="C1450" s="219">
        <v>64956</v>
      </c>
      <c r="E1450" s="211">
        <v>48190</v>
      </c>
      <c r="F1450" s="211">
        <v>15977</v>
      </c>
    </row>
    <row r="1451" spans="1:8" x14ac:dyDescent="0.2">
      <c r="A1451" s="210">
        <v>1846800849</v>
      </c>
      <c r="B1451" s="210" t="s">
        <v>460</v>
      </c>
      <c r="C1451" s="219"/>
    </row>
    <row r="1452" spans="1:8" x14ac:dyDescent="0.2">
      <c r="A1452" s="210">
        <v>1846800850</v>
      </c>
      <c r="B1452" s="210" t="s">
        <v>67</v>
      </c>
      <c r="C1452" s="219">
        <v>101600</v>
      </c>
      <c r="D1452" s="211">
        <v>57228</v>
      </c>
      <c r="E1452" s="211">
        <v>35596</v>
      </c>
      <c r="F1452" s="211">
        <v>151955</v>
      </c>
      <c r="G1452" s="211">
        <v>151667</v>
      </c>
    </row>
    <row r="1453" spans="1:8" x14ac:dyDescent="0.2">
      <c r="A1453" s="210">
        <v>1846800851</v>
      </c>
      <c r="B1453" s="210" t="s">
        <v>68</v>
      </c>
      <c r="C1453" s="219"/>
      <c r="G1453" s="211">
        <v>-430</v>
      </c>
    </row>
    <row r="1454" spans="1:8" x14ac:dyDescent="0.2">
      <c r="A1454" s="210">
        <v>1846900780</v>
      </c>
      <c r="B1454" s="210" t="s">
        <v>1548</v>
      </c>
      <c r="C1454" s="219">
        <v>180000</v>
      </c>
      <c r="D1454" s="211">
        <v>180000</v>
      </c>
      <c r="E1454" s="211">
        <v>50763</v>
      </c>
    </row>
    <row r="1455" spans="1:8" x14ac:dyDescent="0.2">
      <c r="A1455" s="210">
        <v>1847100110</v>
      </c>
      <c r="B1455" s="223" t="s">
        <v>1655</v>
      </c>
      <c r="C1455" s="219">
        <v>237571</v>
      </c>
    </row>
    <row r="1456" spans="1:8" x14ac:dyDescent="0.2">
      <c r="A1456" s="210">
        <v>1847100210</v>
      </c>
      <c r="B1456" s="223" t="s">
        <v>1656</v>
      </c>
      <c r="C1456" s="219">
        <v>90059</v>
      </c>
    </row>
    <row r="1457" spans="1:8" x14ac:dyDescent="0.2">
      <c r="A1457" s="210">
        <v>1847100780</v>
      </c>
      <c r="B1457" s="210" t="s">
        <v>1036</v>
      </c>
      <c r="C1457" s="219"/>
      <c r="H1457" s="211">
        <v>24000</v>
      </c>
    </row>
    <row r="1458" spans="1:8" x14ac:dyDescent="0.2">
      <c r="A1458" s="210">
        <v>1847100840</v>
      </c>
      <c r="B1458" s="210" t="s">
        <v>1420</v>
      </c>
      <c r="C1458" s="219"/>
    </row>
    <row r="1459" spans="1:8" x14ac:dyDescent="0.2">
      <c r="A1459" s="210">
        <v>1847100841</v>
      </c>
      <c r="B1459" s="210" t="s">
        <v>461</v>
      </c>
      <c r="C1459" s="219">
        <v>270000</v>
      </c>
      <c r="D1459" s="211">
        <v>264740</v>
      </c>
      <c r="E1459" s="211">
        <v>133728.39000000001</v>
      </c>
      <c r="F1459" s="211">
        <v>234797.56</v>
      </c>
      <c r="G1459" s="211">
        <v>178063.41</v>
      </c>
      <c r="H1459" s="211">
        <v>132071.41</v>
      </c>
    </row>
    <row r="1460" spans="1:8" x14ac:dyDescent="0.2">
      <c r="A1460" s="210">
        <v>1847100842</v>
      </c>
      <c r="B1460" s="210" t="s">
        <v>1198</v>
      </c>
      <c r="C1460" s="219"/>
    </row>
    <row r="1461" spans="1:8" x14ac:dyDescent="0.2">
      <c r="A1461" s="210">
        <v>1847100843</v>
      </c>
      <c r="B1461" s="210" t="s">
        <v>462</v>
      </c>
      <c r="C1461" s="219">
        <v>186300</v>
      </c>
      <c r="D1461" s="211">
        <v>214200</v>
      </c>
      <c r="E1461" s="211">
        <v>55720.92</v>
      </c>
      <c r="F1461" s="211">
        <v>149854.89000000001</v>
      </c>
      <c r="G1461" s="211">
        <v>191111.81</v>
      </c>
      <c r="H1461" s="211">
        <v>135954.20000000001</v>
      </c>
    </row>
    <row r="1462" spans="1:8" x14ac:dyDescent="0.2">
      <c r="A1462" s="210">
        <v>1847100844</v>
      </c>
      <c r="B1462" s="210" t="s">
        <v>463</v>
      </c>
      <c r="C1462" s="219"/>
    </row>
    <row r="1463" spans="1:8" x14ac:dyDescent="0.2">
      <c r="A1463" s="210">
        <v>1847100845</v>
      </c>
      <c r="B1463" s="210" t="s">
        <v>1421</v>
      </c>
      <c r="C1463" s="219">
        <v>6796</v>
      </c>
      <c r="D1463" s="211">
        <v>51680</v>
      </c>
      <c r="E1463" s="211">
        <v>2223.7199999999998</v>
      </c>
      <c r="F1463" s="211">
        <v>10617.2</v>
      </c>
      <c r="G1463" s="211">
        <v>25519.1</v>
      </c>
      <c r="H1463" s="211">
        <v>261598.88</v>
      </c>
    </row>
    <row r="1464" spans="1:8" x14ac:dyDescent="0.2">
      <c r="A1464" s="210">
        <v>1847100846</v>
      </c>
      <c r="B1464" s="210" t="s">
        <v>50</v>
      </c>
      <c r="C1464" s="219">
        <v>15084</v>
      </c>
      <c r="D1464" s="211">
        <v>28800</v>
      </c>
      <c r="E1464" s="211">
        <v>1184</v>
      </c>
      <c r="F1464" s="211">
        <v>37864</v>
      </c>
      <c r="G1464" s="211">
        <v>35261</v>
      </c>
      <c r="H1464" s="211">
        <v>19167</v>
      </c>
    </row>
    <row r="1465" spans="1:8" x14ac:dyDescent="0.2">
      <c r="A1465" s="210">
        <v>1847100847</v>
      </c>
      <c r="B1465" s="210" t="s">
        <v>198</v>
      </c>
      <c r="C1465" s="219"/>
    </row>
    <row r="1466" spans="1:8" x14ac:dyDescent="0.2">
      <c r="A1466" s="210">
        <v>1847100848</v>
      </c>
      <c r="B1466" s="210" t="s">
        <v>1422</v>
      </c>
      <c r="C1466" s="219"/>
    </row>
    <row r="1467" spans="1:8" x14ac:dyDescent="0.2">
      <c r="A1467" s="210">
        <v>1847100850</v>
      </c>
      <c r="B1467" s="210" t="s">
        <v>1145</v>
      </c>
      <c r="C1467" s="219"/>
      <c r="F1467" s="211">
        <v>36226</v>
      </c>
      <c r="G1467" s="211">
        <v>28802</v>
      </c>
      <c r="H1467" s="211">
        <v>75422</v>
      </c>
    </row>
    <row r="1468" spans="1:8" x14ac:dyDescent="0.2">
      <c r="A1468" s="210">
        <v>1847100851</v>
      </c>
      <c r="B1468" s="210" t="s">
        <v>465</v>
      </c>
      <c r="C1468" s="219"/>
    </row>
    <row r="1469" spans="1:8" x14ac:dyDescent="0.2">
      <c r="A1469" s="210">
        <v>1847100852</v>
      </c>
      <c r="B1469" s="210" t="s">
        <v>69</v>
      </c>
      <c r="C1469" s="219">
        <v>20000</v>
      </c>
      <c r="D1469" s="211">
        <v>20000</v>
      </c>
      <c r="E1469" s="211">
        <v>6680</v>
      </c>
      <c r="F1469" s="211">
        <v>6065.77</v>
      </c>
      <c r="G1469" s="211">
        <v>19847</v>
      </c>
    </row>
    <row r="1470" spans="1:8" x14ac:dyDescent="0.2">
      <c r="A1470" s="210">
        <v>1847110842</v>
      </c>
      <c r="B1470" s="210" t="s">
        <v>464</v>
      </c>
      <c r="C1470" s="219">
        <v>80000</v>
      </c>
      <c r="D1470" s="211">
        <v>80000</v>
      </c>
      <c r="E1470" s="211">
        <v>70896.899999999994</v>
      </c>
      <c r="F1470" s="211">
        <v>84004.24</v>
      </c>
      <c r="G1470" s="211">
        <v>78228.7</v>
      </c>
      <c r="H1470" s="211">
        <v>86514.69</v>
      </c>
    </row>
    <row r="1471" spans="1:8" x14ac:dyDescent="0.2">
      <c r="A1471" s="210">
        <v>1847200840</v>
      </c>
      <c r="B1471" s="210" t="s">
        <v>1423</v>
      </c>
      <c r="C1471" s="219"/>
    </row>
    <row r="1472" spans="1:8" x14ac:dyDescent="0.2">
      <c r="A1472" s="210">
        <v>1847300810</v>
      </c>
      <c r="B1472" s="210" t="s">
        <v>1038</v>
      </c>
      <c r="C1472" s="219"/>
    </row>
    <row r="1473" spans="1:8" x14ac:dyDescent="0.2">
      <c r="A1473" s="210">
        <v>1847300840</v>
      </c>
      <c r="B1473" s="210" t="s">
        <v>466</v>
      </c>
      <c r="C1473" s="219">
        <v>6000</v>
      </c>
      <c r="D1473" s="211">
        <v>8000</v>
      </c>
      <c r="E1473" s="211">
        <v>5320.83</v>
      </c>
      <c r="F1473" s="211">
        <v>7659.25</v>
      </c>
      <c r="G1473" s="211">
        <v>8000</v>
      </c>
      <c r="H1473" s="211">
        <v>8005.5</v>
      </c>
    </row>
    <row r="1474" spans="1:8" x14ac:dyDescent="0.2">
      <c r="A1474" s="210">
        <v>1847300842</v>
      </c>
      <c r="B1474" s="210" t="s">
        <v>467</v>
      </c>
      <c r="C1474" s="219"/>
      <c r="H1474" s="211">
        <v>3050</v>
      </c>
    </row>
    <row r="1475" spans="1:8" x14ac:dyDescent="0.2">
      <c r="A1475" s="210">
        <v>1847300843</v>
      </c>
      <c r="B1475" s="210" t="s">
        <v>199</v>
      </c>
      <c r="C1475" s="219"/>
    </row>
    <row r="1476" spans="1:8" x14ac:dyDescent="0.2">
      <c r="A1476" s="210">
        <v>1847300844</v>
      </c>
      <c r="B1476" s="210" t="s">
        <v>1252</v>
      </c>
      <c r="C1476" s="219"/>
    </row>
    <row r="1477" spans="1:8" x14ac:dyDescent="0.2">
      <c r="A1477" s="210">
        <v>1847300845</v>
      </c>
      <c r="B1477" s="210" t="s">
        <v>469</v>
      </c>
      <c r="C1477" s="219"/>
    </row>
    <row r="1478" spans="1:8" x14ac:dyDescent="0.2">
      <c r="A1478" s="210">
        <v>1847300846</v>
      </c>
      <c r="B1478" s="210" t="s">
        <v>1425</v>
      </c>
      <c r="C1478" s="219">
        <v>135000</v>
      </c>
      <c r="D1478" s="211">
        <v>148800</v>
      </c>
      <c r="E1478" s="211">
        <v>117863</v>
      </c>
      <c r="F1478" s="211">
        <v>201165</v>
      </c>
      <c r="G1478" s="211">
        <v>134957</v>
      </c>
      <c r="H1478" s="211">
        <v>171549</v>
      </c>
    </row>
    <row r="1479" spans="1:8" x14ac:dyDescent="0.2">
      <c r="A1479" s="210">
        <v>1847300847</v>
      </c>
      <c r="B1479" s="210" t="s">
        <v>89</v>
      </c>
      <c r="C1479" s="219">
        <v>0</v>
      </c>
      <c r="D1479" s="211">
        <v>17862</v>
      </c>
      <c r="E1479" s="211">
        <v>6019</v>
      </c>
      <c r="F1479" s="211">
        <v>14886</v>
      </c>
      <c r="G1479" s="211">
        <v>20932</v>
      </c>
    </row>
    <row r="1480" spans="1:8" x14ac:dyDescent="0.2">
      <c r="A1480" s="210">
        <v>1847300848</v>
      </c>
      <c r="B1480" s="210" t="s">
        <v>1478</v>
      </c>
      <c r="C1480" s="219">
        <v>0</v>
      </c>
      <c r="D1480" s="211">
        <v>8436</v>
      </c>
      <c r="E1480" s="211">
        <v>600</v>
      </c>
      <c r="F1480" s="211">
        <v>7054</v>
      </c>
    </row>
    <row r="1481" spans="1:8" x14ac:dyDescent="0.2">
      <c r="A1481" s="210">
        <v>1847400422</v>
      </c>
      <c r="B1481" s="210" t="s">
        <v>1039</v>
      </c>
      <c r="C1481" s="219">
        <v>56400</v>
      </c>
      <c r="D1481" s="211">
        <v>60000</v>
      </c>
      <c r="E1481" s="211">
        <v>32192.93</v>
      </c>
      <c r="F1481" s="211">
        <v>57946.87</v>
      </c>
      <c r="G1481" s="211">
        <v>56835.31</v>
      </c>
      <c r="H1481" s="211">
        <v>66249.210000000006</v>
      </c>
    </row>
    <row r="1482" spans="1:8" x14ac:dyDescent="0.2">
      <c r="A1482" s="210">
        <v>1847400540</v>
      </c>
      <c r="B1482" s="210" t="s">
        <v>875</v>
      </c>
      <c r="C1482" s="219">
        <v>7608</v>
      </c>
      <c r="D1482" s="211">
        <v>6000</v>
      </c>
      <c r="E1482" s="211">
        <v>1865.39</v>
      </c>
      <c r="F1482" s="211">
        <v>5745.39</v>
      </c>
      <c r="G1482" s="211">
        <v>5878.03</v>
      </c>
      <c r="H1482" s="211">
        <v>5713.3</v>
      </c>
    </row>
    <row r="1483" spans="1:8" x14ac:dyDescent="0.2">
      <c r="A1483" s="210">
        <v>1847400560</v>
      </c>
      <c r="B1483" s="210" t="s">
        <v>1040</v>
      </c>
      <c r="C1483" s="219">
        <v>5500</v>
      </c>
      <c r="D1483" s="211">
        <v>5500</v>
      </c>
      <c r="E1483" s="211">
        <v>4447.6899999999996</v>
      </c>
      <c r="F1483" s="211">
        <v>4926.34</v>
      </c>
      <c r="G1483" s="211">
        <v>3657.52</v>
      </c>
      <c r="H1483" s="211">
        <v>1695.81</v>
      </c>
    </row>
    <row r="1484" spans="1:8" x14ac:dyDescent="0.2">
      <c r="A1484" s="210">
        <v>1847400720</v>
      </c>
      <c r="B1484" s="210" t="s">
        <v>689</v>
      </c>
      <c r="C1484" s="219">
        <v>10000</v>
      </c>
      <c r="D1484" s="211">
        <v>20000</v>
      </c>
      <c r="E1484" s="211">
        <v>6494.39</v>
      </c>
      <c r="F1484" s="211">
        <v>10000</v>
      </c>
      <c r="G1484" s="211">
        <v>9812</v>
      </c>
      <c r="H1484" s="211">
        <v>16956</v>
      </c>
    </row>
    <row r="1485" spans="1:8" x14ac:dyDescent="0.2">
      <c r="A1485" s="210">
        <v>1847400780</v>
      </c>
      <c r="B1485" s="210" t="s">
        <v>580</v>
      </c>
      <c r="C1485" s="219"/>
    </row>
    <row r="1486" spans="1:8" x14ac:dyDescent="0.2">
      <c r="A1486" s="210">
        <v>1847400840</v>
      </c>
      <c r="B1486" s="210" t="s">
        <v>200</v>
      </c>
      <c r="C1486" s="219">
        <v>0</v>
      </c>
      <c r="D1486" s="211">
        <v>16800</v>
      </c>
      <c r="F1486" s="211">
        <v>4322</v>
      </c>
      <c r="G1486" s="211">
        <v>4266</v>
      </c>
      <c r="H1486" s="211">
        <v>4219</v>
      </c>
    </row>
    <row r="1487" spans="1:8" x14ac:dyDescent="0.2">
      <c r="A1487" s="210">
        <v>1847400841</v>
      </c>
      <c r="B1487" s="210" t="s">
        <v>1041</v>
      </c>
      <c r="C1487" s="219">
        <v>212404</v>
      </c>
      <c r="D1487" s="211">
        <v>153688</v>
      </c>
      <c r="E1487" s="211">
        <v>76161.320000000007</v>
      </c>
      <c r="F1487" s="211">
        <v>237268.42</v>
      </c>
      <c r="G1487" s="211">
        <v>145522.89000000001</v>
      </c>
      <c r="H1487" s="211">
        <v>143821.41</v>
      </c>
    </row>
    <row r="1488" spans="1:8" x14ac:dyDescent="0.2">
      <c r="A1488" s="210">
        <v>1847400843</v>
      </c>
      <c r="B1488" s="210" t="s">
        <v>1042</v>
      </c>
      <c r="C1488" s="219">
        <v>59456</v>
      </c>
      <c r="D1488" s="211">
        <v>30000</v>
      </c>
      <c r="E1488" s="211">
        <v>30000</v>
      </c>
      <c r="F1488" s="211">
        <v>30000</v>
      </c>
      <c r="G1488" s="211">
        <v>35000</v>
      </c>
      <c r="H1488" s="211">
        <v>30000</v>
      </c>
    </row>
    <row r="1489" spans="1:8" x14ac:dyDescent="0.2">
      <c r="A1489" s="210">
        <v>1847400844</v>
      </c>
      <c r="B1489" s="210" t="s">
        <v>1043</v>
      </c>
      <c r="C1489" s="219">
        <v>0</v>
      </c>
      <c r="D1489" s="211">
        <v>10000</v>
      </c>
      <c r="E1489" s="211">
        <v>9000</v>
      </c>
      <c r="F1489" s="211">
        <v>3604</v>
      </c>
      <c r="G1489" s="211">
        <v>5700</v>
      </c>
      <c r="H1489" s="211">
        <v>9400</v>
      </c>
    </row>
    <row r="1490" spans="1:8" x14ac:dyDescent="0.2">
      <c r="A1490" s="210">
        <v>1847400845</v>
      </c>
      <c r="B1490" s="210" t="s">
        <v>473</v>
      </c>
      <c r="C1490" s="219">
        <v>0</v>
      </c>
      <c r="D1490" s="211">
        <v>30000</v>
      </c>
      <c r="E1490" s="211">
        <v>20712.43</v>
      </c>
      <c r="F1490" s="211">
        <v>33491.96</v>
      </c>
      <c r="G1490" s="211">
        <v>22859.09</v>
      </c>
      <c r="H1490" s="211">
        <v>27000</v>
      </c>
    </row>
    <row r="1491" spans="1:8" x14ac:dyDescent="0.2">
      <c r="A1491" s="210">
        <v>1847401110</v>
      </c>
      <c r="B1491" s="210" t="s">
        <v>1015</v>
      </c>
      <c r="C1491" s="219">
        <v>264380</v>
      </c>
      <c r="D1491" s="211">
        <v>257328</v>
      </c>
      <c r="E1491" s="211">
        <v>204103.41</v>
      </c>
      <c r="F1491" s="211">
        <v>254658.68</v>
      </c>
      <c r="G1491" s="211">
        <v>239291.32</v>
      </c>
      <c r="H1491" s="211">
        <v>234237.95</v>
      </c>
    </row>
    <row r="1492" spans="1:8" x14ac:dyDescent="0.2">
      <c r="A1492" s="210">
        <v>1847402110</v>
      </c>
      <c r="B1492" s="210" t="s">
        <v>1016</v>
      </c>
      <c r="C1492" s="219">
        <v>184812</v>
      </c>
      <c r="D1492" s="211">
        <v>172700</v>
      </c>
      <c r="E1492" s="211">
        <v>138308.71</v>
      </c>
      <c r="F1492" s="211">
        <v>143120.74</v>
      </c>
      <c r="G1492" s="211">
        <v>145976.37</v>
      </c>
      <c r="H1492" s="211">
        <v>156330.35</v>
      </c>
    </row>
    <row r="1493" spans="1:8" x14ac:dyDescent="0.2">
      <c r="A1493" s="210">
        <v>1847404110</v>
      </c>
      <c r="B1493" s="210" t="s">
        <v>1017</v>
      </c>
      <c r="C1493" s="219">
        <v>123709</v>
      </c>
      <c r="D1493" s="211">
        <v>124268</v>
      </c>
      <c r="E1493" s="211">
        <v>92402.96</v>
      </c>
      <c r="F1493" s="211">
        <v>114103.4</v>
      </c>
      <c r="G1493" s="211">
        <v>97969.5</v>
      </c>
      <c r="H1493" s="211">
        <v>124119.41</v>
      </c>
    </row>
    <row r="1494" spans="1:8" x14ac:dyDescent="0.2">
      <c r="A1494" s="210">
        <v>1847405110</v>
      </c>
      <c r="B1494" s="210" t="s">
        <v>1018</v>
      </c>
      <c r="C1494" s="219"/>
      <c r="F1494" s="211">
        <v>418.86</v>
      </c>
      <c r="G1494" s="211">
        <v>126534.2</v>
      </c>
      <c r="H1494" s="211">
        <v>110890.91</v>
      </c>
    </row>
    <row r="1495" spans="1:8" x14ac:dyDescent="0.2">
      <c r="A1495" s="210">
        <v>1847411110</v>
      </c>
      <c r="B1495" s="210" t="s">
        <v>1019</v>
      </c>
      <c r="C1495" s="219">
        <v>112857</v>
      </c>
      <c r="D1495" s="211">
        <v>96491</v>
      </c>
      <c r="E1495" s="211">
        <v>83399.210000000006</v>
      </c>
      <c r="F1495" s="211">
        <v>106258.23</v>
      </c>
      <c r="G1495" s="211">
        <v>84016.66</v>
      </c>
      <c r="H1495" s="211">
        <v>93463.360000000001</v>
      </c>
    </row>
    <row r="1496" spans="1:8" x14ac:dyDescent="0.2">
      <c r="A1496" s="210">
        <v>1847411210</v>
      </c>
      <c r="B1496" s="210" t="s">
        <v>1477</v>
      </c>
      <c r="C1496" s="219">
        <v>36864</v>
      </c>
      <c r="D1496" s="211">
        <v>12574</v>
      </c>
      <c r="E1496" s="211">
        <v>22901.03</v>
      </c>
      <c r="F1496" s="211">
        <v>18363.419999999998</v>
      </c>
    </row>
    <row r="1497" spans="1:8" x14ac:dyDescent="0.2">
      <c r="A1497" s="210">
        <v>1847411750</v>
      </c>
      <c r="B1497" s="210" t="s">
        <v>1044</v>
      </c>
      <c r="C1497" s="219">
        <v>2000</v>
      </c>
      <c r="D1497" s="211">
        <v>2000</v>
      </c>
      <c r="G1497" s="211">
        <v>62416</v>
      </c>
      <c r="H1497" s="211">
        <v>55379</v>
      </c>
    </row>
    <row r="1498" spans="1:8" x14ac:dyDescent="0.2">
      <c r="A1498" s="210">
        <v>1847428110</v>
      </c>
      <c r="B1498" s="210" t="s">
        <v>919</v>
      </c>
      <c r="C1498" s="219">
        <v>467250</v>
      </c>
      <c r="D1498" s="211">
        <v>472908</v>
      </c>
      <c r="E1498" s="211">
        <v>325610.28999999998</v>
      </c>
      <c r="F1498" s="211">
        <v>408551.36</v>
      </c>
      <c r="G1498" s="211">
        <v>517459.1</v>
      </c>
      <c r="H1498" s="211">
        <v>482512.88</v>
      </c>
    </row>
    <row r="1499" spans="1:8" x14ac:dyDescent="0.2">
      <c r="A1499" s="210">
        <v>1848200210</v>
      </c>
      <c r="B1499" s="210" t="s">
        <v>201</v>
      </c>
      <c r="C1499" s="219"/>
    </row>
    <row r="1500" spans="1:8" x14ac:dyDescent="0.2">
      <c r="A1500" s="210">
        <v>1848200840</v>
      </c>
      <c r="B1500" s="210" t="s">
        <v>202</v>
      </c>
      <c r="C1500" s="219"/>
    </row>
    <row r="1501" spans="1:8" x14ac:dyDescent="0.2">
      <c r="A1501" s="210">
        <v>1848200841</v>
      </c>
      <c r="B1501" s="210" t="s">
        <v>1045</v>
      </c>
      <c r="C1501" s="219">
        <v>25000</v>
      </c>
      <c r="D1501" s="211">
        <v>25000</v>
      </c>
      <c r="E1501" s="211">
        <v>25000</v>
      </c>
      <c r="F1501" s="211">
        <v>24169.72</v>
      </c>
      <c r="G1501" s="211">
        <v>24773.200000000001</v>
      </c>
      <c r="H1501" s="211">
        <v>94221.37</v>
      </c>
    </row>
    <row r="1502" spans="1:8" x14ac:dyDescent="0.2">
      <c r="A1502" s="210">
        <v>1848200842</v>
      </c>
      <c r="B1502" s="210" t="s">
        <v>203</v>
      </c>
      <c r="C1502" s="219"/>
    </row>
    <row r="1503" spans="1:8" x14ac:dyDescent="0.2">
      <c r="A1503" s="210">
        <v>1848200843</v>
      </c>
      <c r="B1503" s="210" t="s">
        <v>1430</v>
      </c>
      <c r="C1503" s="219"/>
    </row>
    <row r="1504" spans="1:8" x14ac:dyDescent="0.2">
      <c r="A1504" s="210">
        <v>1848200844</v>
      </c>
      <c r="B1504" s="210" t="s">
        <v>1253</v>
      </c>
      <c r="C1504" s="219"/>
    </row>
    <row r="1505" spans="1:8" x14ac:dyDescent="0.2">
      <c r="A1505" s="210">
        <v>1848200845</v>
      </c>
      <c r="B1505" s="210" t="s">
        <v>1199</v>
      </c>
      <c r="C1505" s="219"/>
    </row>
    <row r="1506" spans="1:8" x14ac:dyDescent="0.2">
      <c r="A1506" s="210">
        <v>1848200846</v>
      </c>
      <c r="B1506" s="210" t="s">
        <v>204</v>
      </c>
      <c r="C1506" s="219"/>
    </row>
    <row r="1507" spans="1:8" x14ac:dyDescent="0.2">
      <c r="A1507" s="210">
        <v>1848200847</v>
      </c>
      <c r="B1507" s="210" t="s">
        <v>1365</v>
      </c>
      <c r="C1507" s="219">
        <v>11000</v>
      </c>
      <c r="D1507" s="211">
        <v>12000</v>
      </c>
      <c r="E1507" s="211">
        <v>5420</v>
      </c>
      <c r="F1507" s="211">
        <v>10230</v>
      </c>
      <c r="G1507" s="211">
        <v>12000</v>
      </c>
    </row>
    <row r="1508" spans="1:8" x14ac:dyDescent="0.2">
      <c r="A1508" s="210">
        <v>1848300580</v>
      </c>
      <c r="B1508" s="210" t="s">
        <v>1046</v>
      </c>
      <c r="C1508" s="219">
        <v>13700</v>
      </c>
      <c r="D1508" s="211">
        <v>15000</v>
      </c>
      <c r="E1508" s="211">
        <v>4212</v>
      </c>
      <c r="F1508" s="211">
        <v>10420</v>
      </c>
      <c r="G1508" s="211">
        <v>19544.3</v>
      </c>
      <c r="H1508" s="211">
        <v>16750</v>
      </c>
    </row>
    <row r="1509" spans="1:8" x14ac:dyDescent="0.2">
      <c r="A1509" s="210">
        <v>1848300840</v>
      </c>
      <c r="B1509" s="210" t="s">
        <v>1047</v>
      </c>
      <c r="C1509" s="219">
        <v>8000</v>
      </c>
      <c r="D1509" s="211">
        <v>8000</v>
      </c>
      <c r="E1509" s="211">
        <v>5193.33</v>
      </c>
      <c r="F1509" s="211">
        <v>6901.2</v>
      </c>
      <c r="G1509" s="211">
        <v>6534.51</v>
      </c>
      <c r="H1509" s="211">
        <v>6822.48</v>
      </c>
    </row>
    <row r="1510" spans="1:8" x14ac:dyDescent="0.2">
      <c r="A1510" s="210">
        <v>1848300841</v>
      </c>
      <c r="B1510" s="210" t="s">
        <v>1432</v>
      </c>
      <c r="C1510" s="219"/>
    </row>
    <row r="1511" spans="1:8" x14ac:dyDescent="0.2">
      <c r="A1511" s="210">
        <v>1848400840</v>
      </c>
      <c r="B1511" s="210" t="s">
        <v>476</v>
      </c>
      <c r="C1511" s="219">
        <v>2540</v>
      </c>
      <c r="D1511" s="211">
        <v>2500</v>
      </c>
      <c r="E1511" s="211">
        <v>358.56</v>
      </c>
      <c r="F1511" s="211">
        <v>2701.89</v>
      </c>
      <c r="G1511" s="211">
        <v>2889.91</v>
      </c>
      <c r="H1511" s="211">
        <v>2688.22</v>
      </c>
    </row>
    <row r="1512" spans="1:8" x14ac:dyDescent="0.2">
      <c r="A1512" s="210">
        <v>1848500840</v>
      </c>
      <c r="B1512" s="210" t="s">
        <v>477</v>
      </c>
      <c r="C1512" s="219">
        <v>36000</v>
      </c>
      <c r="D1512" s="211">
        <v>36000</v>
      </c>
      <c r="E1512" s="211">
        <v>32310</v>
      </c>
      <c r="F1512" s="211">
        <v>36562.6</v>
      </c>
      <c r="G1512" s="211">
        <v>32370</v>
      </c>
      <c r="H1512" s="211">
        <v>8300</v>
      </c>
    </row>
    <row r="1513" spans="1:8" x14ac:dyDescent="0.2">
      <c r="A1513" s="210">
        <v>1848500842</v>
      </c>
      <c r="B1513" s="210" t="s">
        <v>205</v>
      </c>
      <c r="C1513" s="219"/>
    </row>
    <row r="1514" spans="1:8" x14ac:dyDescent="0.2">
      <c r="A1514" s="210">
        <v>1848800110</v>
      </c>
      <c r="B1514" s="210" t="s">
        <v>523</v>
      </c>
      <c r="C1514" s="219">
        <v>1661102</v>
      </c>
      <c r="D1514" s="211">
        <v>1532763</v>
      </c>
      <c r="E1514" s="211">
        <v>1028131.04</v>
      </c>
      <c r="F1514" s="211">
        <v>1286331.57</v>
      </c>
      <c r="G1514" s="211">
        <v>1250235.8700000001</v>
      </c>
      <c r="H1514" s="211">
        <v>1478889.3</v>
      </c>
    </row>
    <row r="1515" spans="1:8" x14ac:dyDescent="0.2">
      <c r="A1515" s="210">
        <v>1848800780</v>
      </c>
      <c r="B1515" s="210" t="s">
        <v>1048</v>
      </c>
      <c r="C1515" s="219">
        <v>30000</v>
      </c>
      <c r="D1515" s="211">
        <v>30000</v>
      </c>
      <c r="E1515" s="211">
        <v>30000</v>
      </c>
      <c r="F1515" s="211">
        <v>30000</v>
      </c>
      <c r="G1515" s="211">
        <v>30000</v>
      </c>
      <c r="H1515" s="211">
        <v>30000</v>
      </c>
    </row>
    <row r="1516" spans="1:8" x14ac:dyDescent="0.2">
      <c r="A1516" s="210">
        <v>1848801210</v>
      </c>
      <c r="B1516" s="210" t="s">
        <v>1020</v>
      </c>
      <c r="C1516" s="219">
        <v>0</v>
      </c>
      <c r="D1516" s="211">
        <v>1218</v>
      </c>
      <c r="E1516" s="211">
        <v>1217.4000000000001</v>
      </c>
      <c r="F1516" s="211">
        <v>27078.11</v>
      </c>
      <c r="G1516" s="211">
        <v>33210.28</v>
      </c>
      <c r="H1516" s="211">
        <v>28462.71</v>
      </c>
    </row>
    <row r="1517" spans="1:8" x14ac:dyDescent="0.2">
      <c r="A1517" s="210">
        <v>1848801750</v>
      </c>
      <c r="B1517" s="210" t="s">
        <v>1049</v>
      </c>
      <c r="C1517" s="219">
        <v>30000</v>
      </c>
      <c r="D1517" s="211">
        <v>30000</v>
      </c>
      <c r="E1517" s="211">
        <v>28056</v>
      </c>
      <c r="F1517" s="211">
        <v>30000</v>
      </c>
      <c r="G1517" s="211">
        <v>23000</v>
      </c>
      <c r="H1517" s="211">
        <v>22800</v>
      </c>
    </row>
    <row r="1518" spans="1:8" x14ac:dyDescent="0.2">
      <c r="A1518" s="210">
        <v>1849000840</v>
      </c>
      <c r="B1518" s="210" t="s">
        <v>1050</v>
      </c>
      <c r="C1518" s="219">
        <v>20640</v>
      </c>
      <c r="D1518" s="211">
        <v>5000</v>
      </c>
      <c r="E1518" s="211">
        <v>3000</v>
      </c>
    </row>
    <row r="1519" spans="1:8" x14ac:dyDescent="0.2">
      <c r="A1519" s="210">
        <v>1849000841</v>
      </c>
      <c r="B1519" s="210" t="s">
        <v>1051</v>
      </c>
      <c r="C1519" s="219"/>
      <c r="H1519" s="211">
        <v>21858</v>
      </c>
    </row>
    <row r="1520" spans="1:8" x14ac:dyDescent="0.2">
      <c r="A1520" s="210">
        <v>1849000842</v>
      </c>
      <c r="B1520" s="210" t="s">
        <v>1052</v>
      </c>
      <c r="C1520" s="219">
        <v>37560</v>
      </c>
      <c r="D1520" s="211">
        <v>55404</v>
      </c>
      <c r="E1520" s="211">
        <v>34103</v>
      </c>
      <c r="F1520" s="211">
        <v>55402</v>
      </c>
      <c r="G1520" s="211">
        <v>55071</v>
      </c>
      <c r="H1520" s="211">
        <v>54708</v>
      </c>
    </row>
    <row r="1521" spans="1:8" x14ac:dyDescent="0.2">
      <c r="A1521" s="210">
        <v>1849000843</v>
      </c>
      <c r="B1521" s="210" t="s">
        <v>1053</v>
      </c>
      <c r="C1521" s="219"/>
      <c r="H1521" s="211">
        <v>155415</v>
      </c>
    </row>
    <row r="1522" spans="1:8" x14ac:dyDescent="0.2">
      <c r="A1522" s="210">
        <v>1849000844</v>
      </c>
      <c r="B1522" s="210" t="s">
        <v>1054</v>
      </c>
      <c r="C1522" s="219">
        <v>104820</v>
      </c>
      <c r="D1522" s="211">
        <v>168000</v>
      </c>
      <c r="E1522" s="211">
        <v>79519</v>
      </c>
      <c r="F1522" s="211">
        <v>260113</v>
      </c>
      <c r="G1522" s="211">
        <v>169713</v>
      </c>
      <c r="H1522" s="211">
        <v>250935</v>
      </c>
    </row>
    <row r="1523" spans="1:8" x14ac:dyDescent="0.2">
      <c r="A1523" s="210">
        <v>1849000845</v>
      </c>
      <c r="B1523" s="210" t="s">
        <v>1055</v>
      </c>
      <c r="C1523" s="219">
        <v>93038</v>
      </c>
      <c r="D1523" s="211">
        <v>50000</v>
      </c>
      <c r="E1523" s="211">
        <v>61125</v>
      </c>
      <c r="F1523" s="211">
        <v>47970</v>
      </c>
      <c r="G1523" s="211">
        <v>55243</v>
      </c>
      <c r="H1523" s="211">
        <v>45617</v>
      </c>
    </row>
    <row r="1524" spans="1:8" x14ac:dyDescent="0.2">
      <c r="A1524" s="210">
        <v>1849000846</v>
      </c>
      <c r="B1524" s="210" t="s">
        <v>1146</v>
      </c>
      <c r="C1524" s="219"/>
      <c r="F1524" s="211">
        <v>24000</v>
      </c>
      <c r="H1524" s="211">
        <v>101286.04</v>
      </c>
    </row>
    <row r="1525" spans="1:8" x14ac:dyDescent="0.2">
      <c r="A1525" s="210">
        <v>1849000847</v>
      </c>
      <c r="B1525" s="210" t="s">
        <v>1434</v>
      </c>
      <c r="C1525" s="219"/>
    </row>
    <row r="1526" spans="1:8" x14ac:dyDescent="0.2">
      <c r="A1526" s="210">
        <v>1849000848</v>
      </c>
      <c r="B1526" s="210" t="s">
        <v>206</v>
      </c>
      <c r="C1526" s="219"/>
    </row>
    <row r="1527" spans="1:8" x14ac:dyDescent="0.2">
      <c r="A1527" s="210">
        <v>1849000849</v>
      </c>
      <c r="B1527" s="210" t="s">
        <v>1435</v>
      </c>
      <c r="C1527" s="219"/>
    </row>
    <row r="1528" spans="1:8" x14ac:dyDescent="0.2">
      <c r="A1528" s="210">
        <v>1849000850</v>
      </c>
      <c r="B1528" s="210" t="s">
        <v>207</v>
      </c>
      <c r="C1528" s="219"/>
    </row>
    <row r="1529" spans="1:8" x14ac:dyDescent="0.2">
      <c r="A1529" s="210">
        <v>1849000851</v>
      </c>
      <c r="B1529" s="210" t="s">
        <v>70</v>
      </c>
      <c r="C1529" s="219">
        <v>168000</v>
      </c>
      <c r="D1529" s="211">
        <v>174000</v>
      </c>
      <c r="E1529" s="211">
        <v>125750</v>
      </c>
      <c r="F1529" s="211">
        <v>146182</v>
      </c>
      <c r="G1529" s="211">
        <v>143751</v>
      </c>
    </row>
    <row r="1530" spans="1:8" x14ac:dyDescent="0.2">
      <c r="A1530" s="210">
        <v>1849001840</v>
      </c>
      <c r="B1530" s="210" t="s">
        <v>460</v>
      </c>
      <c r="C1530" s="219"/>
    </row>
    <row r="1531" spans="1:8" x14ac:dyDescent="0.2">
      <c r="A1531" s="210">
        <v>1849001841</v>
      </c>
      <c r="B1531" s="210" t="s">
        <v>1366</v>
      </c>
      <c r="C1531" s="219">
        <v>200000</v>
      </c>
      <c r="D1531" s="211">
        <v>15000</v>
      </c>
      <c r="E1531" s="211">
        <v>15000</v>
      </c>
      <c r="F1531" s="211">
        <v>11431.7</v>
      </c>
      <c r="G1531" s="211">
        <v>17900</v>
      </c>
    </row>
    <row r="1532" spans="1:8" x14ac:dyDescent="0.2">
      <c r="A1532" s="210">
        <v>1849001843</v>
      </c>
      <c r="B1532" s="210" t="s">
        <v>208</v>
      </c>
      <c r="C1532" s="219"/>
    </row>
    <row r="1533" spans="1:8" x14ac:dyDescent="0.2">
      <c r="A1533" s="210">
        <v>1849001844</v>
      </c>
      <c r="B1533" s="210" t="s">
        <v>485</v>
      </c>
      <c r="C1533" s="219">
        <v>0</v>
      </c>
      <c r="D1533" s="211">
        <v>180000</v>
      </c>
      <c r="E1533" s="211">
        <v>115686.1</v>
      </c>
      <c r="F1533" s="211">
        <v>145182.51999999999</v>
      </c>
      <c r="G1533" s="211">
        <v>179994.36</v>
      </c>
      <c r="H1533" s="211">
        <v>180000</v>
      </c>
    </row>
    <row r="1534" spans="1:8" x14ac:dyDescent="0.2">
      <c r="A1534" s="210">
        <v>1849001847</v>
      </c>
      <c r="B1534" s="210" t="s">
        <v>486</v>
      </c>
      <c r="C1534" s="219">
        <v>15028</v>
      </c>
      <c r="D1534" s="211">
        <v>15000</v>
      </c>
      <c r="E1534" s="211">
        <v>8884</v>
      </c>
      <c r="F1534" s="211">
        <v>13770</v>
      </c>
      <c r="G1534" s="211">
        <v>32546</v>
      </c>
      <c r="H1534" s="211">
        <v>12409</v>
      </c>
    </row>
    <row r="1535" spans="1:8" x14ac:dyDescent="0.2">
      <c r="A1535" s="210">
        <v>1849001849</v>
      </c>
      <c r="B1535" s="210" t="s">
        <v>487</v>
      </c>
      <c r="C1535" s="219">
        <v>21008</v>
      </c>
      <c r="D1535" s="211">
        <v>21000</v>
      </c>
      <c r="E1535" s="211">
        <v>17777</v>
      </c>
      <c r="F1535" s="211">
        <v>15951</v>
      </c>
      <c r="G1535" s="211">
        <v>17616</v>
      </c>
      <c r="H1535" s="211">
        <v>17415</v>
      </c>
    </row>
    <row r="1536" spans="1:8" x14ac:dyDescent="0.2">
      <c r="A1536" s="210">
        <v>1849002840</v>
      </c>
      <c r="B1536" s="210" t="s">
        <v>1438</v>
      </c>
      <c r="C1536" s="219"/>
    </row>
    <row r="1537" spans="1:8" x14ac:dyDescent="0.2">
      <c r="A1537" s="210">
        <v>1849002849</v>
      </c>
      <c r="B1537" s="210" t="s">
        <v>1056</v>
      </c>
      <c r="C1537" s="219"/>
      <c r="G1537" s="211">
        <v>1362</v>
      </c>
      <c r="H1537" s="211">
        <v>5402</v>
      </c>
    </row>
    <row r="1538" spans="1:8" x14ac:dyDescent="0.2">
      <c r="A1538" s="210">
        <v>1849300840</v>
      </c>
      <c r="B1538" s="210" t="s">
        <v>1439</v>
      </c>
      <c r="C1538" s="219"/>
    </row>
    <row r="1539" spans="1:8" x14ac:dyDescent="0.2">
      <c r="A1539" s="210">
        <v>1849300841</v>
      </c>
      <c r="B1539" s="210" t="s">
        <v>1598</v>
      </c>
      <c r="C1539" s="219"/>
    </row>
    <row r="1540" spans="1:8" x14ac:dyDescent="0.2">
      <c r="A1540" s="210">
        <v>1849999780</v>
      </c>
      <c r="B1540" s="210" t="s">
        <v>1165</v>
      </c>
      <c r="C1540" s="219"/>
      <c r="H1540" s="211">
        <v>113977</v>
      </c>
    </row>
    <row r="1541" spans="1:8" x14ac:dyDescent="0.2">
      <c r="A1541" s="210">
        <v>1851000810</v>
      </c>
      <c r="B1541" s="210" t="s">
        <v>794</v>
      </c>
      <c r="C1541" s="219">
        <f>1670000+50000-10000</f>
        <v>1710000</v>
      </c>
      <c r="D1541" s="211">
        <v>1670000</v>
      </c>
      <c r="E1541" s="211">
        <v>1670000</v>
      </c>
      <c r="F1541" s="211">
        <v>1670112</v>
      </c>
      <c r="G1541" s="211">
        <v>1670111.92</v>
      </c>
      <c r="H1541" s="211">
        <v>1651080</v>
      </c>
    </row>
    <row r="1542" spans="1:8" x14ac:dyDescent="0.2">
      <c r="A1542" s="210">
        <v>1851000910</v>
      </c>
      <c r="B1542" s="210" t="s">
        <v>1628</v>
      </c>
      <c r="C1542" s="219">
        <v>0</v>
      </c>
      <c r="D1542" s="211">
        <v>301936</v>
      </c>
    </row>
    <row r="1543" spans="1:8" x14ac:dyDescent="0.2">
      <c r="A1543" s="210">
        <v>1860000399</v>
      </c>
      <c r="B1543" s="210" t="s">
        <v>24</v>
      </c>
      <c r="C1543" s="219"/>
    </row>
    <row r="1544" spans="1:8" x14ac:dyDescent="0.2">
      <c r="A1544" s="210">
        <v>1860000410</v>
      </c>
      <c r="B1544" s="210" t="s">
        <v>873</v>
      </c>
      <c r="C1544" s="219">
        <v>100000</v>
      </c>
      <c r="D1544" s="211">
        <v>108000</v>
      </c>
      <c r="E1544" s="211">
        <v>43005.120000000003</v>
      </c>
      <c r="F1544" s="211">
        <v>98518.71</v>
      </c>
      <c r="G1544" s="211">
        <v>106862.76</v>
      </c>
      <c r="H1544" s="211">
        <v>80831.7</v>
      </c>
    </row>
    <row r="1545" spans="1:8" x14ac:dyDescent="0.2">
      <c r="A1545" s="210">
        <v>1860000470</v>
      </c>
      <c r="B1545" s="210" t="s">
        <v>884</v>
      </c>
      <c r="C1545" s="219">
        <f>400*12+1500-400*12</f>
        <v>1500</v>
      </c>
      <c r="D1545" s="211">
        <v>8200</v>
      </c>
      <c r="E1545" s="211">
        <v>5667.17</v>
      </c>
      <c r="F1545" s="211">
        <v>6147.91</v>
      </c>
      <c r="G1545" s="211">
        <v>7577.82</v>
      </c>
      <c r="H1545" s="211">
        <v>8658.33</v>
      </c>
    </row>
    <row r="1546" spans="1:8" x14ac:dyDescent="0.2">
      <c r="A1546" s="210">
        <v>1860000520</v>
      </c>
      <c r="B1546" s="210" t="s">
        <v>571</v>
      </c>
      <c r="C1546" s="219"/>
      <c r="G1546" s="211">
        <v>2882</v>
      </c>
      <c r="H1546" s="211">
        <v>379.6</v>
      </c>
    </row>
    <row r="1547" spans="1:8" x14ac:dyDescent="0.2">
      <c r="A1547" s="210">
        <v>1860000522</v>
      </c>
      <c r="B1547" s="210" t="s">
        <v>885</v>
      </c>
      <c r="C1547" s="219"/>
      <c r="G1547" s="211">
        <v>236</v>
      </c>
      <c r="H1547" s="211">
        <v>2388.29</v>
      </c>
    </row>
    <row r="1548" spans="1:8" x14ac:dyDescent="0.2">
      <c r="A1548" s="210">
        <v>1860000540</v>
      </c>
      <c r="B1548" s="210" t="s">
        <v>209</v>
      </c>
      <c r="C1548" s="219">
        <f>370*12</f>
        <v>4440</v>
      </c>
      <c r="D1548" s="211">
        <v>2400</v>
      </c>
      <c r="E1548" s="211">
        <v>1529.94</v>
      </c>
      <c r="F1548" s="211">
        <v>1643.61</v>
      </c>
      <c r="G1548" s="211">
        <v>2164.7399999999998</v>
      </c>
    </row>
    <row r="1549" spans="1:8" x14ac:dyDescent="0.2">
      <c r="A1549" s="210">
        <v>1860000581</v>
      </c>
      <c r="B1549" s="276" t="s">
        <v>1693</v>
      </c>
      <c r="C1549" s="219">
        <f>400*12</f>
        <v>4800</v>
      </c>
    </row>
    <row r="1550" spans="1:8" x14ac:dyDescent="0.2">
      <c r="A1550" s="210">
        <v>1860000780</v>
      </c>
      <c r="B1550" s="210" t="s">
        <v>580</v>
      </c>
      <c r="C1550" s="219">
        <v>257000</v>
      </c>
      <c r="D1550" s="211">
        <v>507000</v>
      </c>
      <c r="E1550" s="211">
        <v>399310.15</v>
      </c>
      <c r="F1550" s="211">
        <v>376381.97</v>
      </c>
      <c r="G1550" s="211">
        <v>523836.35</v>
      </c>
      <c r="H1550" s="211">
        <v>355121.23</v>
      </c>
    </row>
    <row r="1551" spans="1:8" x14ac:dyDescent="0.2">
      <c r="A1551" s="210">
        <v>1860000910</v>
      </c>
      <c r="B1551" s="210" t="s">
        <v>741</v>
      </c>
      <c r="C1551" s="219">
        <v>250000</v>
      </c>
      <c r="D1551" s="211">
        <v>30000</v>
      </c>
      <c r="E1551" s="211">
        <v>30000</v>
      </c>
      <c r="F1551" s="211">
        <v>172250.49</v>
      </c>
      <c r="G1551" s="211">
        <v>25858</v>
      </c>
    </row>
    <row r="1552" spans="1:8" x14ac:dyDescent="0.2">
      <c r="A1552" s="210">
        <v>1869000110</v>
      </c>
      <c r="B1552" s="210" t="s">
        <v>538</v>
      </c>
      <c r="C1552" s="219">
        <v>453006</v>
      </c>
      <c r="D1552" s="211">
        <v>443236</v>
      </c>
      <c r="E1552" s="211">
        <v>329746.13</v>
      </c>
      <c r="F1552" s="211">
        <v>410621.24</v>
      </c>
      <c r="G1552" s="211">
        <v>404134.05</v>
      </c>
      <c r="H1552" s="211">
        <v>372128.02</v>
      </c>
    </row>
    <row r="1553" spans="1:8" x14ac:dyDescent="0.2">
      <c r="A1553" s="210">
        <v>1869000980</v>
      </c>
      <c r="B1553" s="210" t="s">
        <v>886</v>
      </c>
      <c r="C1553" s="219"/>
      <c r="G1553" s="211">
        <v>0.52</v>
      </c>
    </row>
    <row r="1554" spans="1:8" x14ac:dyDescent="0.2">
      <c r="A1554" s="210">
        <v>1869000981</v>
      </c>
      <c r="B1554" s="210" t="s">
        <v>74</v>
      </c>
      <c r="C1554" s="219"/>
    </row>
    <row r="1555" spans="1:8" x14ac:dyDescent="0.2">
      <c r="A1555" s="210">
        <v>1879000810</v>
      </c>
      <c r="B1555" s="210" t="s">
        <v>887</v>
      </c>
      <c r="C1555" s="219">
        <v>162000</v>
      </c>
      <c r="D1555" s="211">
        <v>162000</v>
      </c>
      <c r="E1555" s="211">
        <v>162000</v>
      </c>
      <c r="F1555" s="211">
        <v>161850</v>
      </c>
      <c r="G1555" s="211">
        <v>161850</v>
      </c>
      <c r="H1555" s="211">
        <v>161064</v>
      </c>
    </row>
    <row r="1556" spans="1:8" x14ac:dyDescent="0.2">
      <c r="A1556" s="210">
        <v>1910000399</v>
      </c>
      <c r="B1556" s="210" t="s">
        <v>1266</v>
      </c>
      <c r="C1556" s="219"/>
    </row>
    <row r="1557" spans="1:8" x14ac:dyDescent="0.2">
      <c r="A1557" s="210">
        <v>1913000110</v>
      </c>
      <c r="B1557" s="210" t="s">
        <v>523</v>
      </c>
      <c r="C1557" s="219"/>
      <c r="E1557" s="211">
        <v>-0.01</v>
      </c>
      <c r="F1557" s="211">
        <v>653777.37</v>
      </c>
      <c r="G1557" s="211">
        <v>1303707</v>
      </c>
      <c r="H1557" s="211">
        <v>1623182</v>
      </c>
    </row>
    <row r="1558" spans="1:8" x14ac:dyDescent="0.2">
      <c r="A1558" s="210">
        <v>1913000470</v>
      </c>
      <c r="B1558" s="210" t="s">
        <v>884</v>
      </c>
      <c r="C1558" s="219"/>
    </row>
    <row r="1559" spans="1:8" x14ac:dyDescent="0.2">
      <c r="A1559" s="210">
        <v>1913000520</v>
      </c>
      <c r="B1559" s="210" t="s">
        <v>571</v>
      </c>
      <c r="C1559" s="219"/>
    </row>
    <row r="1560" spans="1:8" x14ac:dyDescent="0.2">
      <c r="A1560" s="210">
        <v>1913000580</v>
      </c>
      <c r="B1560" s="210" t="s">
        <v>210</v>
      </c>
      <c r="C1560" s="219"/>
    </row>
    <row r="1561" spans="1:8" x14ac:dyDescent="0.2">
      <c r="A1561" s="210">
        <v>1913000720</v>
      </c>
      <c r="B1561" s="210" t="s">
        <v>689</v>
      </c>
      <c r="C1561" s="219"/>
    </row>
    <row r="1562" spans="1:8" x14ac:dyDescent="0.2">
      <c r="A1562" s="210">
        <v>1913000740</v>
      </c>
      <c r="B1562" s="210" t="s">
        <v>737</v>
      </c>
      <c r="C1562" s="219"/>
    </row>
    <row r="1563" spans="1:8" x14ac:dyDescent="0.2">
      <c r="A1563" s="210">
        <v>1913000743</v>
      </c>
      <c r="B1563" s="210" t="s">
        <v>211</v>
      </c>
      <c r="C1563" s="219"/>
    </row>
    <row r="1564" spans="1:8" x14ac:dyDescent="0.2">
      <c r="A1564" s="210">
        <v>1913000750</v>
      </c>
      <c r="B1564" s="210" t="s">
        <v>714</v>
      </c>
      <c r="C1564" s="219"/>
      <c r="F1564" s="211">
        <v>46917.84</v>
      </c>
      <c r="G1564" s="211">
        <v>58065.52</v>
      </c>
      <c r="H1564" s="211">
        <v>2714979.33</v>
      </c>
    </row>
    <row r="1565" spans="1:8" x14ac:dyDescent="0.2">
      <c r="A1565" s="210">
        <v>1913000770</v>
      </c>
      <c r="B1565" s="210" t="s">
        <v>740</v>
      </c>
      <c r="C1565" s="219"/>
    </row>
    <row r="1566" spans="1:8" x14ac:dyDescent="0.2">
      <c r="A1566" s="210">
        <v>1913000930</v>
      </c>
      <c r="B1566" s="210" t="s">
        <v>961</v>
      </c>
      <c r="C1566" s="219"/>
    </row>
    <row r="1567" spans="1:8" x14ac:dyDescent="0.2">
      <c r="A1567" s="210">
        <v>1913100720</v>
      </c>
      <c r="B1567" s="210" t="s">
        <v>212</v>
      </c>
      <c r="C1567" s="219"/>
    </row>
    <row r="1568" spans="1:8" x14ac:dyDescent="0.2">
      <c r="A1568" s="210">
        <v>1913100721</v>
      </c>
      <c r="B1568" s="210" t="s">
        <v>213</v>
      </c>
      <c r="C1568" s="219"/>
    </row>
    <row r="1569" spans="1:8" x14ac:dyDescent="0.2">
      <c r="A1569" s="210">
        <v>1930000399</v>
      </c>
      <c r="B1569" s="210" t="s">
        <v>24</v>
      </c>
      <c r="C1569" s="219"/>
    </row>
    <row r="1570" spans="1:8" x14ac:dyDescent="0.2">
      <c r="A1570" s="210">
        <v>1931000110</v>
      </c>
      <c r="B1570" s="210" t="s">
        <v>523</v>
      </c>
      <c r="C1570" s="219">
        <v>239283</v>
      </c>
      <c r="D1570" s="211">
        <v>223208</v>
      </c>
      <c r="E1570" s="211">
        <v>171904.36</v>
      </c>
      <c r="F1570" s="211">
        <v>168802.39</v>
      </c>
      <c r="G1570" s="211">
        <v>135590.20000000001</v>
      </c>
      <c r="H1570" s="211">
        <v>217310.86</v>
      </c>
    </row>
    <row r="1571" spans="1:8" x14ac:dyDescent="0.2">
      <c r="A1571" s="210">
        <v>1931000450</v>
      </c>
      <c r="B1571" s="210" t="s">
        <v>888</v>
      </c>
      <c r="C1571" s="219"/>
      <c r="H1571" s="211">
        <v>50</v>
      </c>
    </row>
    <row r="1572" spans="1:8" x14ac:dyDescent="0.2">
      <c r="A1572" s="210">
        <v>1931000511</v>
      </c>
      <c r="B1572" s="210" t="s">
        <v>889</v>
      </c>
      <c r="C1572" s="219">
        <v>1200</v>
      </c>
      <c r="D1572" s="211">
        <v>1200</v>
      </c>
      <c r="E1572" s="211">
        <v>1200</v>
      </c>
      <c r="F1572" s="211">
        <v>1199.99</v>
      </c>
      <c r="G1572" s="211">
        <v>1000</v>
      </c>
      <c r="H1572" s="211">
        <v>1000</v>
      </c>
    </row>
    <row r="1573" spans="1:8" x14ac:dyDescent="0.2">
      <c r="A1573" s="210">
        <v>1931000560</v>
      </c>
      <c r="B1573" s="210" t="s">
        <v>890</v>
      </c>
      <c r="C1573" s="219">
        <f>450*12+600-450*12</f>
        <v>600</v>
      </c>
      <c r="D1573" s="211">
        <v>7000</v>
      </c>
      <c r="E1573" s="211">
        <v>4132.3</v>
      </c>
      <c r="F1573" s="211">
        <v>6301.89</v>
      </c>
      <c r="G1573" s="211">
        <v>9961.43</v>
      </c>
      <c r="H1573" s="211">
        <v>7015.89</v>
      </c>
    </row>
    <row r="1574" spans="1:8" x14ac:dyDescent="0.2">
      <c r="A1574" s="210">
        <v>1931000581</v>
      </c>
      <c r="B1574" s="276" t="s">
        <v>1694</v>
      </c>
      <c r="C1574" s="219">
        <f>450*12</f>
        <v>5400</v>
      </c>
    </row>
    <row r="1575" spans="1:8" x14ac:dyDescent="0.2">
      <c r="A1575" s="210">
        <v>1931000731</v>
      </c>
      <c r="B1575" s="210" t="s">
        <v>129</v>
      </c>
      <c r="C1575" s="219"/>
      <c r="G1575" s="211">
        <v>2606.65</v>
      </c>
      <c r="H1575" s="211">
        <v>14047.48</v>
      </c>
    </row>
    <row r="1576" spans="1:8" x14ac:dyDescent="0.2">
      <c r="A1576" s="210">
        <v>1931000750</v>
      </c>
      <c r="B1576" s="210" t="s">
        <v>714</v>
      </c>
      <c r="C1576" s="219">
        <f>13000*12+9900+1750+9500+60000+80000</f>
        <v>317150</v>
      </c>
      <c r="D1576" s="211">
        <v>236100</v>
      </c>
      <c r="E1576" s="211">
        <v>179824.85</v>
      </c>
      <c r="F1576" s="211">
        <v>191220.22</v>
      </c>
      <c r="G1576" s="211">
        <v>288337.74</v>
      </c>
      <c r="H1576" s="211">
        <v>287860.46000000002</v>
      </c>
    </row>
    <row r="1577" spans="1:8" x14ac:dyDescent="0.2">
      <c r="A1577" s="210">
        <v>1931000910</v>
      </c>
      <c r="B1577" s="210" t="s">
        <v>1148</v>
      </c>
      <c r="C1577" s="219"/>
    </row>
    <row r="1578" spans="1:8" x14ac:dyDescent="0.2">
      <c r="A1578" s="210">
        <v>1931000980</v>
      </c>
      <c r="B1578" s="210" t="s">
        <v>580</v>
      </c>
      <c r="C1578" s="220">
        <v>30000</v>
      </c>
      <c r="D1578" s="211">
        <v>30000</v>
      </c>
      <c r="E1578" s="211">
        <v>21858.6</v>
      </c>
      <c r="F1578" s="211">
        <v>27712.5</v>
      </c>
      <c r="G1578" s="211">
        <v>22360.75</v>
      </c>
      <c r="H1578" s="211">
        <v>84680.82</v>
      </c>
    </row>
    <row r="1579" spans="1:8" x14ac:dyDescent="0.2">
      <c r="A1579" s="210">
        <v>1937000110</v>
      </c>
      <c r="B1579" s="210" t="s">
        <v>523</v>
      </c>
      <c r="C1579" s="219">
        <v>175180</v>
      </c>
      <c r="D1579" s="211">
        <v>158548</v>
      </c>
      <c r="E1579" s="211">
        <v>124219.89</v>
      </c>
      <c r="F1579" s="211">
        <v>160745.81</v>
      </c>
      <c r="G1579" s="211">
        <v>155791.25</v>
      </c>
      <c r="H1579" s="211">
        <v>155206.59</v>
      </c>
    </row>
    <row r="1580" spans="1:8" x14ac:dyDescent="0.2">
      <c r="A1580" s="210">
        <v>1937000430</v>
      </c>
      <c r="B1580" s="276" t="s">
        <v>1695</v>
      </c>
      <c r="C1580" s="219">
        <f>50*12+17000*6</f>
        <v>102600</v>
      </c>
    </row>
    <row r="1581" spans="1:8" x14ac:dyDescent="0.2">
      <c r="A1581" s="210">
        <v>1937000750</v>
      </c>
      <c r="B1581" s="210" t="s">
        <v>892</v>
      </c>
      <c r="C1581" s="219"/>
      <c r="F1581" s="211">
        <v>226215.3</v>
      </c>
      <c r="G1581" s="211">
        <v>339445.94</v>
      </c>
      <c r="H1581" s="211">
        <v>306079.14</v>
      </c>
    </row>
    <row r="1582" spans="1:8" x14ac:dyDescent="0.2">
      <c r="A1582" s="210">
        <v>1937000780</v>
      </c>
      <c r="B1582" s="210" t="s">
        <v>580</v>
      </c>
      <c r="C1582" s="219">
        <f>17000*6+50*12+1000+3000+101000-17000*6-50*12</f>
        <v>105000</v>
      </c>
      <c r="D1582" s="211">
        <v>118000</v>
      </c>
      <c r="E1582" s="211">
        <v>66716.97</v>
      </c>
      <c r="F1582" s="211">
        <v>92528.2</v>
      </c>
      <c r="G1582" s="211">
        <v>151866.14000000001</v>
      </c>
      <c r="H1582" s="211">
        <v>125678.37</v>
      </c>
    </row>
    <row r="1583" spans="1:8" x14ac:dyDescent="0.2">
      <c r="A1583" s="210">
        <v>1938000110</v>
      </c>
      <c r="B1583" s="210" t="s">
        <v>523</v>
      </c>
      <c r="C1583" s="219">
        <f>1080237+11494</f>
        <v>1091731</v>
      </c>
      <c r="D1583" s="211">
        <v>1133242</v>
      </c>
      <c r="E1583" s="211">
        <v>882961.45</v>
      </c>
      <c r="F1583" s="211">
        <v>934137.61</v>
      </c>
      <c r="G1583" s="211">
        <v>945298.61</v>
      </c>
      <c r="H1583" s="211">
        <v>753552.34</v>
      </c>
    </row>
    <row r="1584" spans="1:8" x14ac:dyDescent="0.2">
      <c r="A1584" s="210">
        <v>1938000210</v>
      </c>
      <c r="B1584" s="210" t="s">
        <v>214</v>
      </c>
      <c r="C1584" s="219"/>
    </row>
    <row r="1585" spans="1:8" x14ac:dyDescent="0.2">
      <c r="A1585" s="210">
        <v>1938000422</v>
      </c>
      <c r="B1585" s="210" t="s">
        <v>893</v>
      </c>
      <c r="C1585" s="219">
        <v>11000</v>
      </c>
      <c r="D1585" s="211">
        <v>12000</v>
      </c>
      <c r="E1585" s="211">
        <v>6000</v>
      </c>
      <c r="F1585" s="211">
        <v>11792.32</v>
      </c>
      <c r="G1585" s="211">
        <v>11593.94</v>
      </c>
      <c r="H1585" s="211">
        <v>9959.84</v>
      </c>
    </row>
    <row r="1586" spans="1:8" x14ac:dyDescent="0.2">
      <c r="A1586" s="210">
        <v>1938000430</v>
      </c>
      <c r="B1586" s="210" t="s">
        <v>839</v>
      </c>
      <c r="C1586" s="219">
        <f>100000+27000+77000+34000+58000+32000+100000+60000+113000+35000+70000+40000-13549</f>
        <v>732451</v>
      </c>
      <c r="D1586" s="211">
        <v>795000</v>
      </c>
      <c r="E1586" s="211">
        <v>483542.98</v>
      </c>
      <c r="F1586" s="211">
        <v>669594.71</v>
      </c>
      <c r="G1586" s="211">
        <v>903040.65</v>
      </c>
      <c r="H1586" s="211">
        <v>820301.59</v>
      </c>
    </row>
    <row r="1587" spans="1:8" x14ac:dyDescent="0.2">
      <c r="A1587" s="210">
        <v>1938000440</v>
      </c>
      <c r="B1587" s="210" t="s">
        <v>215</v>
      </c>
      <c r="C1587" s="219"/>
    </row>
    <row r="1588" spans="1:8" x14ac:dyDescent="0.2">
      <c r="A1588" s="210">
        <v>1938000450</v>
      </c>
      <c r="B1588" s="210" t="s">
        <v>894</v>
      </c>
      <c r="C1588" s="219">
        <v>18000</v>
      </c>
      <c r="D1588" s="211">
        <v>15000</v>
      </c>
      <c r="E1588" s="211">
        <v>5000</v>
      </c>
      <c r="F1588" s="211">
        <v>15889.1</v>
      </c>
      <c r="G1588" s="211">
        <v>15192.25</v>
      </c>
      <c r="H1588" s="211">
        <v>12882.87</v>
      </c>
    </row>
    <row r="1589" spans="1:8" x14ac:dyDescent="0.2">
      <c r="A1589" s="210">
        <v>1938000511</v>
      </c>
      <c r="B1589" s="210" t="s">
        <v>895</v>
      </c>
      <c r="C1589" s="219">
        <v>100000</v>
      </c>
      <c r="D1589" s="211">
        <v>95000</v>
      </c>
      <c r="E1589" s="211">
        <v>61816.28</v>
      </c>
      <c r="F1589" s="211">
        <v>96628.02</v>
      </c>
      <c r="G1589" s="211">
        <v>107101.06</v>
      </c>
      <c r="H1589" s="211">
        <v>99999.72</v>
      </c>
    </row>
    <row r="1590" spans="1:8" x14ac:dyDescent="0.2">
      <c r="A1590" s="210">
        <v>1938000512</v>
      </c>
      <c r="B1590" s="210" t="s">
        <v>1127</v>
      </c>
      <c r="C1590" s="219"/>
    </row>
    <row r="1591" spans="1:8" x14ac:dyDescent="0.2">
      <c r="A1591" s="210">
        <v>1938000530</v>
      </c>
      <c r="B1591" s="210" t="s">
        <v>130</v>
      </c>
      <c r="C1591" s="220">
        <v>0</v>
      </c>
      <c r="D1591" s="211">
        <v>60000</v>
      </c>
      <c r="E1591" s="211">
        <v>36716.49</v>
      </c>
      <c r="F1591" s="211">
        <v>59006.64</v>
      </c>
      <c r="G1591" s="211">
        <v>20963.95</v>
      </c>
    </row>
    <row r="1592" spans="1:8" x14ac:dyDescent="0.2">
      <c r="A1592" s="210">
        <v>1938000540</v>
      </c>
      <c r="B1592" s="210" t="s">
        <v>875</v>
      </c>
      <c r="C1592" s="219">
        <f>850*12+13000*12+20000*12+366*12+4000*12+4095*12+7408</f>
        <v>515140</v>
      </c>
      <c r="D1592" s="211">
        <v>552800</v>
      </c>
      <c r="E1592" s="211">
        <v>207749.27</v>
      </c>
      <c r="F1592" s="211">
        <v>640099.64</v>
      </c>
      <c r="G1592" s="211">
        <v>706129.64</v>
      </c>
      <c r="H1592" s="211">
        <v>711616.13</v>
      </c>
    </row>
    <row r="1593" spans="1:8" x14ac:dyDescent="0.2">
      <c r="A1593" s="210">
        <v>1938000560</v>
      </c>
      <c r="B1593" s="210" t="s">
        <v>664</v>
      </c>
      <c r="C1593" s="219">
        <v>1000</v>
      </c>
      <c r="D1593" s="211">
        <v>2000</v>
      </c>
      <c r="E1593" s="211">
        <v>483.9</v>
      </c>
      <c r="F1593" s="211">
        <v>2200</v>
      </c>
      <c r="G1593" s="211">
        <v>1152.29</v>
      </c>
      <c r="H1593" s="211">
        <v>422.91</v>
      </c>
    </row>
    <row r="1594" spans="1:8" x14ac:dyDescent="0.2">
      <c r="A1594" s="210">
        <v>1938000570</v>
      </c>
      <c r="B1594" s="210" t="s">
        <v>896</v>
      </c>
      <c r="C1594" s="219">
        <f>7326*12+45*12</f>
        <v>88452</v>
      </c>
      <c r="D1594" s="211">
        <v>84004</v>
      </c>
      <c r="E1594" s="211">
        <v>35730.53</v>
      </c>
      <c r="F1594" s="211">
        <v>84503.3</v>
      </c>
      <c r="G1594" s="211">
        <v>81151.92</v>
      </c>
      <c r="H1594" s="211">
        <v>121573.75999999999</v>
      </c>
    </row>
    <row r="1595" spans="1:8" x14ac:dyDescent="0.2">
      <c r="A1595" s="210">
        <v>1938000571</v>
      </c>
      <c r="B1595" s="210" t="s">
        <v>897</v>
      </c>
      <c r="C1595" s="219">
        <f>50000+50000+20000+10000+63000</f>
        <v>193000</v>
      </c>
      <c r="D1595" s="211">
        <v>150000</v>
      </c>
      <c r="E1595" s="211">
        <v>88039.38</v>
      </c>
      <c r="F1595" s="211">
        <v>157636.57</v>
      </c>
      <c r="G1595" s="211">
        <v>86914.92</v>
      </c>
      <c r="H1595" s="211">
        <v>111952.1</v>
      </c>
    </row>
    <row r="1596" spans="1:8" x14ac:dyDescent="0.2">
      <c r="A1596" s="210">
        <v>1938000580</v>
      </c>
      <c r="B1596" s="210" t="s">
        <v>216</v>
      </c>
      <c r="C1596" s="219"/>
    </row>
    <row r="1597" spans="1:8" x14ac:dyDescent="0.2">
      <c r="A1597" s="210">
        <v>1938000731</v>
      </c>
      <c r="B1597" s="210" t="s">
        <v>217</v>
      </c>
      <c r="C1597" s="219"/>
      <c r="G1597" s="211">
        <v>1057.32</v>
      </c>
      <c r="H1597" s="211">
        <v>11095.25</v>
      </c>
    </row>
    <row r="1598" spans="1:8" x14ac:dyDescent="0.2">
      <c r="A1598" s="210">
        <v>1938000740</v>
      </c>
      <c r="B1598" s="210" t="s">
        <v>737</v>
      </c>
      <c r="C1598" s="219">
        <v>5000</v>
      </c>
      <c r="D1598" s="211">
        <v>3000</v>
      </c>
      <c r="E1598" s="211">
        <v>1977</v>
      </c>
      <c r="F1598" s="211">
        <v>2991.53</v>
      </c>
      <c r="G1598" s="211">
        <v>3209</v>
      </c>
      <c r="H1598" s="211">
        <v>1000</v>
      </c>
    </row>
    <row r="1599" spans="1:8" x14ac:dyDescent="0.2">
      <c r="A1599" s="210">
        <v>1938000750</v>
      </c>
      <c r="B1599" s="210" t="s">
        <v>899</v>
      </c>
      <c r="C1599" s="219">
        <f>31000*12</f>
        <v>372000</v>
      </c>
      <c r="D1599" s="211">
        <v>360000</v>
      </c>
      <c r="E1599" s="211">
        <v>230858</v>
      </c>
      <c r="F1599" s="211">
        <v>354543</v>
      </c>
      <c r="G1599" s="211">
        <v>344520</v>
      </c>
      <c r="H1599" s="211">
        <v>303646</v>
      </c>
    </row>
    <row r="1600" spans="1:8" x14ac:dyDescent="0.2">
      <c r="A1600" s="210">
        <v>1938000751</v>
      </c>
      <c r="B1600" s="210" t="s">
        <v>714</v>
      </c>
      <c r="C1600" s="219">
        <v>15000</v>
      </c>
      <c r="D1600" s="211">
        <v>14000</v>
      </c>
      <c r="E1600" s="211">
        <v>10452.52</v>
      </c>
      <c r="F1600" s="211">
        <v>12591.33</v>
      </c>
      <c r="G1600" s="211">
        <v>13655.89</v>
      </c>
      <c r="H1600" s="211">
        <v>11515</v>
      </c>
    </row>
    <row r="1601" spans="1:8" x14ac:dyDescent="0.2">
      <c r="A1601" s="210">
        <v>1938000752</v>
      </c>
      <c r="B1601" s="210" t="s">
        <v>1629</v>
      </c>
      <c r="C1601" s="219">
        <f>38000*12</f>
        <v>456000</v>
      </c>
      <c r="D1601" s="211">
        <v>150560</v>
      </c>
      <c r="E1601" s="211">
        <v>107198</v>
      </c>
    </row>
    <row r="1602" spans="1:8" x14ac:dyDescent="0.2">
      <c r="A1602" s="210">
        <v>1938000760</v>
      </c>
      <c r="B1602" s="210" t="s">
        <v>900</v>
      </c>
      <c r="C1602" s="219">
        <f>1575*12</f>
        <v>18900</v>
      </c>
      <c r="D1602" s="211">
        <v>19000</v>
      </c>
      <c r="E1602" s="211">
        <v>12599.31</v>
      </c>
      <c r="F1602" s="211">
        <v>18919.88</v>
      </c>
      <c r="G1602" s="211">
        <v>9453.2999999999993</v>
      </c>
      <c r="H1602" s="211">
        <v>5560.27</v>
      </c>
    </row>
    <row r="1603" spans="1:8" x14ac:dyDescent="0.2">
      <c r="A1603" s="210">
        <v>1938000780</v>
      </c>
      <c r="B1603" s="210" t="s">
        <v>580</v>
      </c>
      <c r="C1603" s="219">
        <v>30000</v>
      </c>
      <c r="D1603" s="211">
        <v>30000</v>
      </c>
      <c r="E1603" s="211">
        <v>17794.900000000001</v>
      </c>
      <c r="F1603" s="211">
        <v>60064.97</v>
      </c>
      <c r="G1603" s="211">
        <v>40410.65</v>
      </c>
      <c r="H1603" s="211">
        <v>41921.9</v>
      </c>
    </row>
    <row r="1604" spans="1:8" x14ac:dyDescent="0.2">
      <c r="A1604" s="210">
        <v>1938000910</v>
      </c>
      <c r="B1604" s="210" t="s">
        <v>901</v>
      </c>
      <c r="C1604" s="219">
        <v>200000</v>
      </c>
      <c r="D1604" s="211">
        <v>18000</v>
      </c>
      <c r="F1604" s="211">
        <v>120000</v>
      </c>
      <c r="G1604" s="211">
        <v>197109</v>
      </c>
    </row>
    <row r="1605" spans="1:8" x14ac:dyDescent="0.2">
      <c r="A1605" s="210">
        <v>1938000980</v>
      </c>
      <c r="B1605" s="210" t="s">
        <v>580</v>
      </c>
      <c r="C1605" s="219">
        <f>75000+20000+10000</f>
        <v>105000</v>
      </c>
      <c r="D1605" s="211">
        <v>80000</v>
      </c>
      <c r="E1605" s="211">
        <v>53399.18</v>
      </c>
      <c r="F1605" s="211">
        <v>77529.98</v>
      </c>
      <c r="G1605" s="211">
        <v>89456.84</v>
      </c>
      <c r="H1605" s="211">
        <v>32613.919999999998</v>
      </c>
    </row>
    <row r="1606" spans="1:8" x14ac:dyDescent="0.2">
      <c r="A1606" s="210">
        <v>1938000981</v>
      </c>
      <c r="B1606" s="210" t="s">
        <v>74</v>
      </c>
      <c r="C1606" s="219"/>
      <c r="G1606" s="211">
        <v>406</v>
      </c>
    </row>
    <row r="1607" spans="1:8" x14ac:dyDescent="0.2">
      <c r="A1607" s="210">
        <v>1938001110</v>
      </c>
      <c r="B1607" s="210" t="s">
        <v>218</v>
      </c>
      <c r="C1607" s="219"/>
    </row>
    <row r="1608" spans="1:8" x14ac:dyDescent="0.2">
      <c r="A1608" s="210">
        <v>1938001731</v>
      </c>
      <c r="B1608" s="210" t="s">
        <v>1453</v>
      </c>
      <c r="C1608" s="219">
        <v>12929</v>
      </c>
      <c r="D1608" s="211">
        <v>14000</v>
      </c>
      <c r="E1608" s="211">
        <v>-253.57</v>
      </c>
      <c r="F1608" s="211">
        <v>16442.060000000001</v>
      </c>
      <c r="G1608" s="211">
        <v>14549.52</v>
      </c>
    </row>
    <row r="1609" spans="1:8" x14ac:dyDescent="0.2">
      <c r="A1609" s="210">
        <v>1938010110</v>
      </c>
      <c r="B1609" s="210" t="s">
        <v>1476</v>
      </c>
      <c r="C1609" s="219"/>
      <c r="G1609" s="211">
        <v>8061.75</v>
      </c>
    </row>
    <row r="1610" spans="1:8" x14ac:dyDescent="0.2">
      <c r="A1610" s="210">
        <v>1938100110</v>
      </c>
      <c r="B1610" s="210" t="s">
        <v>523</v>
      </c>
      <c r="C1610" s="219">
        <v>383515</v>
      </c>
      <c r="D1610" s="211">
        <v>357851</v>
      </c>
      <c r="E1610" s="211">
        <v>306695.02</v>
      </c>
      <c r="F1610" s="211">
        <v>737946.95</v>
      </c>
      <c r="G1610" s="211">
        <v>841810.33</v>
      </c>
      <c r="H1610" s="211">
        <v>786869.77</v>
      </c>
    </row>
    <row r="1611" spans="1:8" x14ac:dyDescent="0.2">
      <c r="A1611" s="210">
        <v>1938100560</v>
      </c>
      <c r="B1611" s="210" t="s">
        <v>820</v>
      </c>
      <c r="C1611" s="219"/>
      <c r="F1611" s="211">
        <v>1263.5999999999999</v>
      </c>
    </row>
    <row r="1612" spans="1:8" x14ac:dyDescent="0.2">
      <c r="A1612" s="210">
        <v>1938100570</v>
      </c>
      <c r="B1612" s="210" t="s">
        <v>219</v>
      </c>
      <c r="C1612" s="219"/>
    </row>
    <row r="1613" spans="1:8" x14ac:dyDescent="0.2">
      <c r="A1613" s="210">
        <v>1938100780</v>
      </c>
      <c r="B1613" s="210" t="s">
        <v>580</v>
      </c>
      <c r="C1613" s="219">
        <f>150*12</f>
        <v>1800</v>
      </c>
      <c r="D1613" s="211">
        <v>1800</v>
      </c>
      <c r="E1613" s="211">
        <v>413.87</v>
      </c>
      <c r="F1613" s="211">
        <v>2616.2399999999998</v>
      </c>
      <c r="G1613" s="211">
        <v>4466.8999999999996</v>
      </c>
      <c r="H1613" s="211">
        <v>4019.93</v>
      </c>
    </row>
    <row r="1614" spans="1:8" s="218" customFormat="1" x14ac:dyDescent="0.2">
      <c r="A1614" s="218">
        <v>1939000110</v>
      </c>
      <c r="B1614" s="218" t="s">
        <v>523</v>
      </c>
      <c r="C1614" s="219">
        <v>1558553</v>
      </c>
      <c r="D1614" s="216">
        <v>1412301</v>
      </c>
      <c r="E1614" s="216">
        <v>1156046.7</v>
      </c>
      <c r="F1614" s="216">
        <v>1900700.04</v>
      </c>
      <c r="G1614" s="216">
        <v>2361519.2999999998</v>
      </c>
      <c r="H1614" s="216">
        <v>2257548.42</v>
      </c>
    </row>
    <row r="1615" spans="1:8" x14ac:dyDescent="0.2">
      <c r="A1615" s="210">
        <v>1939000210</v>
      </c>
      <c r="B1615" s="210" t="s">
        <v>1475</v>
      </c>
      <c r="C1615" s="219"/>
      <c r="F1615" s="211">
        <v>23430.97</v>
      </c>
      <c r="G1615" s="211">
        <v>7584.16</v>
      </c>
    </row>
    <row r="1616" spans="1:8" x14ac:dyDescent="0.2">
      <c r="A1616" s="210">
        <v>1939000410</v>
      </c>
      <c r="B1616" s="210" t="s">
        <v>902</v>
      </c>
      <c r="C1616" s="219">
        <f>27000*12+6000*12</f>
        <v>396000</v>
      </c>
      <c r="D1616" s="211">
        <v>396000</v>
      </c>
      <c r="E1616" s="211">
        <v>259786.99</v>
      </c>
      <c r="F1616" s="211">
        <v>341705.13</v>
      </c>
      <c r="G1616" s="211">
        <v>272334.96999999997</v>
      </c>
      <c r="H1616" s="211">
        <v>300443.94</v>
      </c>
    </row>
    <row r="1617" spans="1:8" x14ac:dyDescent="0.2">
      <c r="A1617" s="210">
        <v>1939000511</v>
      </c>
      <c r="B1617" s="210" t="s">
        <v>220</v>
      </c>
      <c r="C1617" s="219"/>
    </row>
    <row r="1618" spans="1:8" x14ac:dyDescent="0.2">
      <c r="A1618" s="210">
        <v>1939000512</v>
      </c>
      <c r="B1618" s="210" t="s">
        <v>1127</v>
      </c>
      <c r="C1618" s="219"/>
    </row>
    <row r="1619" spans="1:8" x14ac:dyDescent="0.2">
      <c r="A1619" s="210">
        <v>1939000560</v>
      </c>
      <c r="B1619" s="210" t="s">
        <v>820</v>
      </c>
      <c r="C1619" s="219">
        <f>65*12+220</f>
        <v>1000</v>
      </c>
      <c r="D1619" s="211">
        <v>2000</v>
      </c>
      <c r="E1619" s="211">
        <v>1846.62</v>
      </c>
      <c r="F1619" s="211">
        <v>284.7</v>
      </c>
      <c r="G1619" s="211">
        <v>478.1</v>
      </c>
      <c r="H1619" s="211">
        <v>880.95</v>
      </c>
    </row>
    <row r="1620" spans="1:8" x14ac:dyDescent="0.2">
      <c r="A1620" s="210">
        <v>1939000570</v>
      </c>
      <c r="B1620" s="227" t="s">
        <v>1666</v>
      </c>
      <c r="C1620" s="219">
        <f>200*1.17*12</f>
        <v>2808</v>
      </c>
    </row>
    <row r="1621" spans="1:8" x14ac:dyDescent="0.2">
      <c r="A1621" s="210">
        <v>1939000730</v>
      </c>
      <c r="B1621" s="210" t="s">
        <v>903</v>
      </c>
      <c r="C1621" s="219">
        <v>30000</v>
      </c>
      <c r="D1621" s="211">
        <v>32000</v>
      </c>
      <c r="E1621" s="211">
        <v>25649.5</v>
      </c>
      <c r="F1621" s="211">
        <v>30933.49</v>
      </c>
      <c r="G1621" s="211">
        <v>125609.79</v>
      </c>
      <c r="H1621" s="211">
        <v>115789.6</v>
      </c>
    </row>
    <row r="1622" spans="1:8" x14ac:dyDescent="0.2">
      <c r="A1622" s="210">
        <v>1939000731</v>
      </c>
      <c r="B1622" s="210" t="s">
        <v>904</v>
      </c>
      <c r="C1622" s="219">
        <f>17000+10000+27000+10000</f>
        <v>64000</v>
      </c>
      <c r="D1622" s="211">
        <v>125000</v>
      </c>
      <c r="E1622" s="211">
        <v>116859.35</v>
      </c>
      <c r="F1622" s="211">
        <v>267433.48</v>
      </c>
      <c r="G1622" s="211">
        <v>99375.81</v>
      </c>
      <c r="H1622" s="211">
        <v>231726.19</v>
      </c>
    </row>
    <row r="1623" spans="1:8" x14ac:dyDescent="0.2">
      <c r="A1623" s="210">
        <v>1939000750</v>
      </c>
      <c r="B1623" s="210" t="s">
        <v>1551</v>
      </c>
      <c r="C1623" s="219">
        <f>20000*12</f>
        <v>240000</v>
      </c>
      <c r="D1623" s="211">
        <v>200000</v>
      </c>
      <c r="E1623" s="211">
        <v>111197.24</v>
      </c>
      <c r="F1623" s="211">
        <v>28958</v>
      </c>
    </row>
    <row r="1624" spans="1:8" x14ac:dyDescent="0.2">
      <c r="A1624" s="210">
        <v>1939000751</v>
      </c>
      <c r="B1624" s="210" t="s">
        <v>714</v>
      </c>
      <c r="C1624" s="219">
        <v>0</v>
      </c>
      <c r="D1624" s="211">
        <v>114473</v>
      </c>
      <c r="E1624" s="211">
        <v>117473</v>
      </c>
    </row>
    <row r="1625" spans="1:8" x14ac:dyDescent="0.2">
      <c r="A1625" s="210">
        <v>1939000780</v>
      </c>
      <c r="B1625" s="210" t="s">
        <v>580</v>
      </c>
      <c r="C1625" s="219">
        <f>26*12</f>
        <v>312</v>
      </c>
      <c r="D1625" s="211">
        <v>360</v>
      </c>
      <c r="E1625" s="211">
        <v>4300.92</v>
      </c>
      <c r="F1625" s="211">
        <v>311.52</v>
      </c>
      <c r="G1625" s="211">
        <v>2595.8200000000002</v>
      </c>
      <c r="H1625" s="211">
        <v>834.19</v>
      </c>
    </row>
    <row r="1626" spans="1:8" x14ac:dyDescent="0.2">
      <c r="A1626" s="210">
        <v>1939000910</v>
      </c>
      <c r="B1626" s="210" t="s">
        <v>1630</v>
      </c>
      <c r="C1626" s="219">
        <f>54500+15000</f>
        <v>69500</v>
      </c>
      <c r="D1626" s="211">
        <v>54500</v>
      </c>
    </row>
    <row r="1627" spans="1:8" x14ac:dyDescent="0.2">
      <c r="A1627" s="210">
        <v>1939000980</v>
      </c>
      <c r="B1627" s="210" t="s">
        <v>580</v>
      </c>
      <c r="C1627" s="219">
        <f>9000+18500</f>
        <v>27500</v>
      </c>
      <c r="D1627" s="211">
        <v>8000</v>
      </c>
      <c r="E1627" s="211">
        <v>11180.6</v>
      </c>
      <c r="F1627" s="211">
        <v>5862.5</v>
      </c>
      <c r="G1627" s="211">
        <v>6961.9</v>
      </c>
      <c r="H1627" s="211">
        <v>3888</v>
      </c>
    </row>
    <row r="1628" spans="1:8" x14ac:dyDescent="0.2">
      <c r="A1628" s="210">
        <v>1939000981</v>
      </c>
      <c r="B1628" s="210" t="s">
        <v>74</v>
      </c>
      <c r="C1628" s="219"/>
      <c r="G1628" s="211">
        <v>12</v>
      </c>
    </row>
    <row r="1629" spans="1:8" x14ac:dyDescent="0.2">
      <c r="A1629" s="210">
        <v>1939001410</v>
      </c>
      <c r="B1629" s="210" t="s">
        <v>345</v>
      </c>
      <c r="C1629" s="219"/>
    </row>
    <row r="1630" spans="1:8" x14ac:dyDescent="0.2">
      <c r="A1630" s="210">
        <v>1939001731</v>
      </c>
      <c r="B1630" s="210" t="s">
        <v>221</v>
      </c>
      <c r="C1630" s="219"/>
      <c r="F1630" s="211">
        <v>936</v>
      </c>
      <c r="G1630" s="211">
        <v>1862</v>
      </c>
    </row>
    <row r="1631" spans="1:8" x14ac:dyDescent="0.2">
      <c r="A1631" s="210">
        <v>1939002530</v>
      </c>
      <c r="B1631" s="210" t="s">
        <v>1631</v>
      </c>
      <c r="C1631" s="219"/>
      <c r="E1631" s="211">
        <v>-463.6</v>
      </c>
      <c r="F1631" s="211">
        <v>87224.4</v>
      </c>
      <c r="G1631" s="211">
        <v>58725.29</v>
      </c>
    </row>
    <row r="1632" spans="1:8" x14ac:dyDescent="0.2">
      <c r="A1632" s="210">
        <v>1939002731</v>
      </c>
      <c r="B1632" s="210" t="s">
        <v>1473</v>
      </c>
      <c r="C1632" s="219"/>
      <c r="G1632" s="211">
        <v>172</v>
      </c>
    </row>
    <row r="1633" spans="1:8" x14ac:dyDescent="0.2">
      <c r="A1633" s="210">
        <v>1939003530</v>
      </c>
      <c r="B1633" s="210" t="s">
        <v>1632</v>
      </c>
      <c r="C1633" s="219"/>
      <c r="D1633" s="211">
        <v>70000</v>
      </c>
      <c r="E1633" s="211">
        <v>14513.37</v>
      </c>
      <c r="F1633" s="211">
        <v>54253.32</v>
      </c>
      <c r="G1633" s="211">
        <v>2802.76</v>
      </c>
    </row>
    <row r="1634" spans="1:8" x14ac:dyDescent="0.2">
      <c r="A1634" s="210">
        <v>1939003731</v>
      </c>
      <c r="B1634" s="210" t="s">
        <v>905</v>
      </c>
      <c r="C1634" s="219">
        <v>7406</v>
      </c>
      <c r="D1634" s="211">
        <v>2500</v>
      </c>
      <c r="E1634" s="211">
        <v>8752</v>
      </c>
      <c r="F1634" s="211">
        <v>4767.4399999999996</v>
      </c>
      <c r="G1634" s="211">
        <v>4578.05</v>
      </c>
      <c r="H1634" s="211">
        <v>3197</v>
      </c>
    </row>
    <row r="1635" spans="1:8" x14ac:dyDescent="0.2">
      <c r="A1635" s="210">
        <v>1939004731</v>
      </c>
      <c r="B1635" s="210" t="s">
        <v>906</v>
      </c>
      <c r="C1635" s="219">
        <v>47477</v>
      </c>
      <c r="D1635" s="211">
        <v>46000</v>
      </c>
      <c r="E1635" s="211">
        <v>22740.26</v>
      </c>
      <c r="F1635" s="211">
        <v>54896.03</v>
      </c>
      <c r="G1635" s="211">
        <v>37708.769999999997</v>
      </c>
      <c r="H1635" s="211">
        <v>40607.25</v>
      </c>
    </row>
    <row r="1636" spans="1:8" x14ac:dyDescent="0.2">
      <c r="A1636" s="210">
        <v>1939005731</v>
      </c>
      <c r="B1636" s="210" t="s">
        <v>222</v>
      </c>
      <c r="C1636" s="219"/>
    </row>
    <row r="1637" spans="1:8" x14ac:dyDescent="0.2">
      <c r="A1637" s="210">
        <v>1939006731</v>
      </c>
      <c r="B1637" s="210" t="s">
        <v>907</v>
      </c>
      <c r="C1637" s="219">
        <v>1647</v>
      </c>
      <c r="D1637" s="211">
        <v>2000</v>
      </c>
      <c r="E1637" s="211">
        <v>669</v>
      </c>
      <c r="F1637" s="211">
        <v>2220</v>
      </c>
      <c r="G1637" s="211">
        <v>1713</v>
      </c>
      <c r="H1637" s="211">
        <v>2128.9499999999998</v>
      </c>
    </row>
    <row r="1638" spans="1:8" x14ac:dyDescent="0.2">
      <c r="A1638" s="210">
        <v>1939008731</v>
      </c>
      <c r="B1638" s="210" t="s">
        <v>223</v>
      </c>
      <c r="C1638" s="219"/>
    </row>
    <row r="1639" spans="1:8" x14ac:dyDescent="0.2">
      <c r="A1639" s="210">
        <v>1939009731</v>
      </c>
      <c r="B1639" s="210" t="s">
        <v>131</v>
      </c>
      <c r="C1639" s="219"/>
      <c r="F1639" s="211">
        <v>18553.12</v>
      </c>
      <c r="G1639" s="211">
        <v>17522.72</v>
      </c>
      <c r="H1639" s="211">
        <v>10258.58</v>
      </c>
    </row>
    <row r="1640" spans="1:8" x14ac:dyDescent="0.2">
      <c r="A1640" s="210">
        <v>1939011731</v>
      </c>
      <c r="B1640" s="210" t="s">
        <v>908</v>
      </c>
      <c r="C1640" s="219">
        <v>1647</v>
      </c>
      <c r="D1640" s="211">
        <v>2000</v>
      </c>
      <c r="E1640" s="211">
        <v>1926.75</v>
      </c>
      <c r="F1640" s="211">
        <v>1865.3</v>
      </c>
      <c r="G1640" s="211">
        <v>1876</v>
      </c>
      <c r="H1640" s="211">
        <v>2720</v>
      </c>
    </row>
    <row r="1641" spans="1:8" x14ac:dyDescent="0.2">
      <c r="A1641" s="210">
        <v>1939012731</v>
      </c>
      <c r="B1641" s="210" t="s">
        <v>909</v>
      </c>
      <c r="C1641" s="219">
        <v>1647</v>
      </c>
      <c r="D1641" s="211">
        <v>1200</v>
      </c>
      <c r="E1641" s="211">
        <v>602</v>
      </c>
      <c r="F1641" s="211">
        <v>1146</v>
      </c>
      <c r="G1641" s="211">
        <v>1146</v>
      </c>
      <c r="H1641" s="211">
        <v>1306</v>
      </c>
    </row>
    <row r="1642" spans="1:8" x14ac:dyDescent="0.2">
      <c r="A1642" s="210">
        <v>1939013731</v>
      </c>
      <c r="B1642" s="210" t="s">
        <v>910</v>
      </c>
      <c r="C1642" s="219">
        <v>12609</v>
      </c>
      <c r="D1642" s="211">
        <v>13000</v>
      </c>
      <c r="E1642" s="211">
        <v>10038.19</v>
      </c>
      <c r="F1642" s="211">
        <v>14058.38</v>
      </c>
      <c r="G1642" s="211">
        <v>17632.73</v>
      </c>
      <c r="H1642" s="211">
        <v>12382.06</v>
      </c>
    </row>
    <row r="1643" spans="1:8" x14ac:dyDescent="0.2">
      <c r="A1643" s="210">
        <v>1939014530</v>
      </c>
      <c r="B1643" s="210" t="s">
        <v>90</v>
      </c>
      <c r="C1643" s="219">
        <v>100854</v>
      </c>
      <c r="D1643" s="211">
        <v>102000</v>
      </c>
      <c r="E1643" s="211">
        <v>70634.899999999994</v>
      </c>
      <c r="F1643" s="211">
        <v>97661.2</v>
      </c>
      <c r="G1643" s="211">
        <v>66734.880000000005</v>
      </c>
    </row>
    <row r="1644" spans="1:8" x14ac:dyDescent="0.2">
      <c r="A1644" s="210">
        <v>1939014731</v>
      </c>
      <c r="B1644" s="210" t="s">
        <v>1471</v>
      </c>
      <c r="C1644" s="219"/>
      <c r="G1644" s="211">
        <v>-2179</v>
      </c>
    </row>
    <row r="1645" spans="1:8" x14ac:dyDescent="0.2">
      <c r="A1645" s="210">
        <v>1939015731</v>
      </c>
      <c r="B1645" s="210" t="s">
        <v>1470</v>
      </c>
      <c r="C1645" s="219">
        <v>0</v>
      </c>
      <c r="D1645" s="211">
        <v>25000</v>
      </c>
      <c r="E1645" s="211">
        <v>2217.11</v>
      </c>
      <c r="F1645" s="211">
        <v>6498.97</v>
      </c>
    </row>
    <row r="1646" spans="1:8" x14ac:dyDescent="0.2">
      <c r="A1646" s="210">
        <v>1939018731</v>
      </c>
      <c r="B1646" s="210" t="s">
        <v>911</v>
      </c>
      <c r="C1646" s="219"/>
    </row>
    <row r="1647" spans="1:8" x14ac:dyDescent="0.2">
      <c r="A1647" s="210">
        <v>1939019731</v>
      </c>
      <c r="B1647" s="210" t="s">
        <v>810</v>
      </c>
      <c r="C1647" s="219">
        <v>36970</v>
      </c>
      <c r="D1647" s="211">
        <v>37000</v>
      </c>
      <c r="E1647" s="211">
        <v>28661.119999999999</v>
      </c>
      <c r="F1647" s="211">
        <v>45531.88</v>
      </c>
      <c r="G1647" s="211">
        <v>16056.43</v>
      </c>
      <c r="H1647" s="211">
        <v>2250</v>
      </c>
    </row>
    <row r="1648" spans="1:8" x14ac:dyDescent="0.2">
      <c r="A1648" s="210">
        <v>1939022731</v>
      </c>
      <c r="B1648" s="210" t="s">
        <v>224</v>
      </c>
      <c r="C1648" s="219"/>
    </row>
    <row r="1649" spans="1:8" x14ac:dyDescent="0.2">
      <c r="A1649" s="210">
        <v>1939033731</v>
      </c>
      <c r="B1649" s="210" t="s">
        <v>1469</v>
      </c>
      <c r="C1649" s="219">
        <v>1647</v>
      </c>
      <c r="D1649" s="211">
        <v>1200</v>
      </c>
      <c r="E1649" s="211">
        <v>2655</v>
      </c>
      <c r="F1649" s="211">
        <v>801</v>
      </c>
    </row>
    <row r="1650" spans="1:8" x14ac:dyDescent="0.2">
      <c r="A1650" s="210">
        <v>1939043731</v>
      </c>
      <c r="B1650" s="210" t="s">
        <v>1468</v>
      </c>
      <c r="C1650" s="219">
        <v>0</v>
      </c>
      <c r="E1650" s="211">
        <v>7346.36</v>
      </c>
      <c r="F1650" s="211">
        <v>8192.24</v>
      </c>
    </row>
    <row r="1651" spans="1:8" x14ac:dyDescent="0.2">
      <c r="A1651" s="210">
        <v>1939100530</v>
      </c>
      <c r="B1651" s="210" t="s">
        <v>1467</v>
      </c>
      <c r="C1651" s="219"/>
      <c r="G1651" s="211">
        <v>119.51</v>
      </c>
    </row>
    <row r="1652" spans="1:8" x14ac:dyDescent="0.2">
      <c r="A1652" s="210">
        <v>1939100730</v>
      </c>
      <c r="B1652" s="210" t="s">
        <v>1466</v>
      </c>
      <c r="C1652" s="219">
        <v>15000</v>
      </c>
      <c r="D1652" s="211">
        <v>15000</v>
      </c>
      <c r="E1652" s="211">
        <v>11612.4</v>
      </c>
      <c r="F1652" s="211">
        <v>9955</v>
      </c>
    </row>
    <row r="1653" spans="1:8" x14ac:dyDescent="0.2">
      <c r="A1653" s="210">
        <v>1939111731</v>
      </c>
      <c r="B1653" s="210" t="s">
        <v>225</v>
      </c>
      <c r="C1653" s="219"/>
      <c r="F1653" s="211">
        <v>54506</v>
      </c>
    </row>
    <row r="1654" spans="1:8" x14ac:dyDescent="0.2">
      <c r="A1654" s="210">
        <v>1939200731</v>
      </c>
      <c r="B1654" s="210" t="s">
        <v>1331</v>
      </c>
      <c r="C1654" s="219">
        <v>1647</v>
      </c>
      <c r="E1654" s="211">
        <v>702</v>
      </c>
      <c r="F1654" s="211">
        <v>245</v>
      </c>
    </row>
    <row r="1655" spans="1:8" x14ac:dyDescent="0.2">
      <c r="A1655" s="210">
        <v>1939300731</v>
      </c>
      <c r="B1655" s="221" t="s">
        <v>1648</v>
      </c>
      <c r="C1655" s="219">
        <v>106421</v>
      </c>
    </row>
    <row r="1656" spans="1:8" x14ac:dyDescent="0.2">
      <c r="A1656" s="210">
        <v>1970000399</v>
      </c>
      <c r="B1656" s="210" t="s">
        <v>24</v>
      </c>
      <c r="C1656" s="219"/>
    </row>
    <row r="1657" spans="1:8" x14ac:dyDescent="0.2">
      <c r="A1657" s="210">
        <v>1972000110</v>
      </c>
      <c r="B1657" s="210" t="s">
        <v>523</v>
      </c>
      <c r="C1657" s="219"/>
      <c r="F1657" s="211">
        <v>-0.01</v>
      </c>
    </row>
    <row r="1658" spans="1:8" x14ac:dyDescent="0.2">
      <c r="A1658" s="210">
        <v>1972000420</v>
      </c>
      <c r="B1658" s="210" t="s">
        <v>226</v>
      </c>
      <c r="C1658" s="219"/>
    </row>
    <row r="1659" spans="1:8" x14ac:dyDescent="0.2">
      <c r="A1659" s="210">
        <v>1972000440</v>
      </c>
      <c r="B1659" s="210" t="s">
        <v>227</v>
      </c>
      <c r="C1659" s="219"/>
    </row>
    <row r="1660" spans="1:8" x14ac:dyDescent="0.2">
      <c r="A1660" s="210">
        <v>1972000720</v>
      </c>
      <c r="B1660" s="210" t="s">
        <v>228</v>
      </c>
      <c r="C1660" s="219"/>
    </row>
    <row r="1661" spans="1:8" x14ac:dyDescent="0.2">
      <c r="A1661" s="210">
        <v>1972000731</v>
      </c>
      <c r="B1661" s="210" t="s">
        <v>1261</v>
      </c>
      <c r="C1661" s="219"/>
    </row>
    <row r="1662" spans="1:8" x14ac:dyDescent="0.2">
      <c r="A1662" s="210">
        <v>1972000740</v>
      </c>
      <c r="B1662" s="210" t="s">
        <v>737</v>
      </c>
      <c r="C1662" s="219"/>
    </row>
    <row r="1663" spans="1:8" x14ac:dyDescent="0.2">
      <c r="A1663" s="210">
        <v>1972000743</v>
      </c>
      <c r="B1663" s="210" t="s">
        <v>737</v>
      </c>
      <c r="C1663" s="219"/>
    </row>
    <row r="1664" spans="1:8" x14ac:dyDescent="0.2">
      <c r="A1664" s="210">
        <v>1972000750</v>
      </c>
      <c r="B1664" s="210" t="s">
        <v>912</v>
      </c>
      <c r="C1664" s="219">
        <v>110000</v>
      </c>
      <c r="D1664" s="211">
        <v>110000</v>
      </c>
      <c r="E1664" s="211">
        <v>75971.350000000006</v>
      </c>
      <c r="F1664" s="211">
        <v>98859.09</v>
      </c>
      <c r="G1664" s="211">
        <v>101710.64</v>
      </c>
      <c r="H1664" s="211">
        <v>115623.83</v>
      </c>
    </row>
    <row r="1665" spans="1:8" x14ac:dyDescent="0.2">
      <c r="A1665" s="210">
        <v>1972000752</v>
      </c>
      <c r="B1665" s="210" t="s">
        <v>229</v>
      </c>
      <c r="C1665" s="219"/>
    </row>
    <row r="1666" spans="1:8" x14ac:dyDescent="0.2">
      <c r="A1666" s="210">
        <v>1972000770</v>
      </c>
      <c r="B1666" s="210" t="s">
        <v>740</v>
      </c>
      <c r="C1666" s="219">
        <f>2500*6-2000</f>
        <v>13000</v>
      </c>
      <c r="D1666" s="211">
        <v>15000</v>
      </c>
      <c r="E1666" s="211">
        <v>8020.64</v>
      </c>
      <c r="F1666" s="211">
        <v>13735.29</v>
      </c>
      <c r="G1666" s="211">
        <v>13530.36</v>
      </c>
      <c r="H1666" s="211">
        <v>10850.87</v>
      </c>
    </row>
    <row r="1667" spans="1:8" x14ac:dyDescent="0.2">
      <c r="A1667" s="210">
        <v>1972000780</v>
      </c>
      <c r="B1667" s="210" t="s">
        <v>913</v>
      </c>
      <c r="C1667" s="219">
        <v>0</v>
      </c>
      <c r="D1667" s="211">
        <v>2003</v>
      </c>
      <c r="F1667" s="211">
        <v>1136.4000000000001</v>
      </c>
      <c r="G1667" s="211">
        <v>2751.76</v>
      </c>
      <c r="H1667" s="211">
        <v>3317.04</v>
      </c>
    </row>
    <row r="1668" spans="1:8" x14ac:dyDescent="0.2">
      <c r="A1668" s="210">
        <v>1972000930</v>
      </c>
      <c r="B1668" s="210" t="s">
        <v>737</v>
      </c>
      <c r="C1668" s="219"/>
    </row>
    <row r="1669" spans="1:8" x14ac:dyDescent="0.2">
      <c r="A1669" s="210">
        <v>1972001731</v>
      </c>
      <c r="B1669" s="210" t="s">
        <v>230</v>
      </c>
      <c r="C1669" s="219"/>
    </row>
    <row r="1670" spans="1:8" x14ac:dyDescent="0.2">
      <c r="A1670" s="210">
        <v>1972002731</v>
      </c>
      <c r="B1670" s="210" t="s">
        <v>1262</v>
      </c>
      <c r="C1670" s="219"/>
    </row>
    <row r="1671" spans="1:8" x14ac:dyDescent="0.2">
      <c r="A1671" s="210">
        <v>1972003731</v>
      </c>
      <c r="B1671" s="210" t="s">
        <v>1263</v>
      </c>
      <c r="C1671" s="219"/>
    </row>
    <row r="1672" spans="1:8" x14ac:dyDescent="0.2">
      <c r="A1672" s="210">
        <v>1972004731</v>
      </c>
      <c r="B1672" s="210" t="s">
        <v>231</v>
      </c>
      <c r="C1672" s="219"/>
    </row>
    <row r="1673" spans="1:8" x14ac:dyDescent="0.2">
      <c r="A1673" s="210">
        <v>1972005731</v>
      </c>
      <c r="B1673" s="210" t="s">
        <v>232</v>
      </c>
      <c r="C1673" s="219"/>
    </row>
    <row r="1674" spans="1:8" x14ac:dyDescent="0.2">
      <c r="A1674" s="210">
        <v>1972007731</v>
      </c>
      <c r="B1674" s="210" t="s">
        <v>233</v>
      </c>
      <c r="C1674" s="219"/>
    </row>
    <row r="1675" spans="1:8" x14ac:dyDescent="0.2">
      <c r="A1675" s="210">
        <v>1980000310</v>
      </c>
      <c r="B1675" s="210" t="s">
        <v>539</v>
      </c>
      <c r="C1675" s="219">
        <v>25000</v>
      </c>
      <c r="D1675" s="211">
        <v>26000</v>
      </c>
      <c r="E1675" s="211">
        <v>14511</v>
      </c>
      <c r="F1675" s="211">
        <v>27665</v>
      </c>
      <c r="G1675" s="211">
        <v>27675</v>
      </c>
      <c r="H1675" s="211">
        <v>38083</v>
      </c>
    </row>
    <row r="1676" spans="1:8" x14ac:dyDescent="0.2">
      <c r="A1676" s="210">
        <v>1980000312</v>
      </c>
      <c r="B1676" s="210" t="s">
        <v>540</v>
      </c>
      <c r="C1676" s="219">
        <v>265000</v>
      </c>
      <c r="D1676" s="211">
        <v>255000</v>
      </c>
      <c r="E1676" s="211">
        <v>135275.42000000001</v>
      </c>
      <c r="F1676" s="211">
        <v>265660.24</v>
      </c>
      <c r="G1676" s="211">
        <v>157881.54999999999</v>
      </c>
      <c r="H1676" s="211">
        <v>112495.48</v>
      </c>
    </row>
    <row r="1677" spans="1:8" x14ac:dyDescent="0.2">
      <c r="A1677" s="210">
        <v>1980000733</v>
      </c>
      <c r="B1677" s="210" t="s">
        <v>914</v>
      </c>
      <c r="C1677" s="219"/>
    </row>
    <row r="1678" spans="1:8" x14ac:dyDescent="0.2">
      <c r="A1678" s="210">
        <v>1990000399</v>
      </c>
      <c r="B1678" s="210" t="s">
        <v>1266</v>
      </c>
      <c r="C1678" s="219"/>
    </row>
    <row r="1679" spans="1:8" x14ac:dyDescent="0.2">
      <c r="A1679" s="210">
        <v>1991000110</v>
      </c>
      <c r="B1679" s="210" t="s">
        <v>1267</v>
      </c>
      <c r="C1679" s="219">
        <v>82500</v>
      </c>
      <c r="F1679" s="211">
        <v>-16385</v>
      </c>
    </row>
    <row r="1680" spans="1:8" x14ac:dyDescent="0.2">
      <c r="A1680" s="210">
        <v>1991000310</v>
      </c>
      <c r="B1680" s="210" t="s">
        <v>539</v>
      </c>
      <c r="C1680" s="219">
        <v>31967599</v>
      </c>
      <c r="D1680" s="211">
        <v>32278355</v>
      </c>
      <c r="E1680" s="211">
        <v>24383357.84</v>
      </c>
      <c r="F1680" s="211">
        <v>31767646.460000001</v>
      </c>
      <c r="G1680" s="211">
        <v>29708325.280000001</v>
      </c>
      <c r="H1680" s="211">
        <v>29249693.420000002</v>
      </c>
    </row>
    <row r="1681" spans="1:8" x14ac:dyDescent="0.2">
      <c r="A1681" s="210">
        <v>1991000314</v>
      </c>
      <c r="B1681" s="210" t="s">
        <v>158</v>
      </c>
      <c r="C1681" s="219"/>
    </row>
    <row r="1682" spans="1:8" x14ac:dyDescent="0.2">
      <c r="A1682" s="210">
        <v>1991000320</v>
      </c>
      <c r="B1682" s="210" t="s">
        <v>541</v>
      </c>
      <c r="C1682" s="219">
        <f>1300000-400000+10000</f>
        <v>910000</v>
      </c>
      <c r="D1682" s="211">
        <v>1200000</v>
      </c>
      <c r="E1682" s="211">
        <v>1895331.81</v>
      </c>
      <c r="F1682" s="211">
        <v>5993783.2999999998</v>
      </c>
      <c r="G1682" s="211">
        <v>4448418.66</v>
      </c>
      <c r="H1682" s="211">
        <v>590185.18999999994</v>
      </c>
    </row>
    <row r="1683" spans="1:8" x14ac:dyDescent="0.2">
      <c r="A1683" s="210">
        <v>1991000523</v>
      </c>
      <c r="B1683" s="210" t="s">
        <v>1075</v>
      </c>
      <c r="C1683" s="219">
        <f>143708+143708+122640+178478</f>
        <v>588534</v>
      </c>
      <c r="D1683" s="211">
        <v>551580</v>
      </c>
      <c r="E1683" s="211">
        <v>399669.99</v>
      </c>
      <c r="F1683" s="211">
        <v>361310</v>
      </c>
      <c r="G1683" s="211">
        <v>328657.2</v>
      </c>
      <c r="H1683" s="211">
        <v>316898.71000000002</v>
      </c>
    </row>
    <row r="1684" spans="1:8" x14ac:dyDescent="0.2">
      <c r="A1684" s="210">
        <v>1991000810</v>
      </c>
      <c r="B1684" s="210" t="s">
        <v>234</v>
      </c>
      <c r="C1684" s="219"/>
    </row>
    <row r="1685" spans="1:8" x14ac:dyDescent="0.2">
      <c r="A1685" s="210">
        <v>1993000980</v>
      </c>
      <c r="B1685" s="210" t="s">
        <v>1076</v>
      </c>
      <c r="C1685" s="219">
        <f>843847+8000-50230-101617-1020-258585+200000</f>
        <v>640395</v>
      </c>
      <c r="D1685" s="211">
        <v>1288789</v>
      </c>
      <c r="E1685" s="211">
        <v>3010074.25</v>
      </c>
      <c r="F1685" s="211">
        <v>1632720.97</v>
      </c>
      <c r="G1685" s="211">
        <v>2480453.06</v>
      </c>
      <c r="H1685" s="211">
        <v>1987443.62</v>
      </c>
    </row>
    <row r="1686" spans="1:8" x14ac:dyDescent="0.2">
      <c r="A1686" s="210">
        <v>1994000750</v>
      </c>
      <c r="B1686" s="210" t="s">
        <v>235</v>
      </c>
      <c r="C1686" s="219"/>
    </row>
    <row r="1687" spans="1:8" x14ac:dyDescent="0.2">
      <c r="A1687" s="210">
        <v>1994000980</v>
      </c>
      <c r="B1687" s="210" t="s">
        <v>236</v>
      </c>
      <c r="C1687" s="219"/>
    </row>
    <row r="1688" spans="1:8" x14ac:dyDescent="0.2">
      <c r="A1688" s="210">
        <v>1995000860</v>
      </c>
      <c r="B1688" s="210" t="s">
        <v>1078</v>
      </c>
      <c r="C1688" s="219">
        <v>20300000</v>
      </c>
      <c r="D1688" s="211">
        <v>19950000</v>
      </c>
      <c r="F1688" s="211">
        <v>20904078</v>
      </c>
      <c r="G1688" s="211">
        <v>19878196.66</v>
      </c>
      <c r="H1688" s="211">
        <v>17863480.800000001</v>
      </c>
    </row>
    <row r="1689" spans="1:8" x14ac:dyDescent="0.2">
      <c r="A1689" s="210">
        <v>1995000861</v>
      </c>
      <c r="B1689" s="210" t="s">
        <v>237</v>
      </c>
      <c r="C1689" s="219"/>
    </row>
    <row r="1690" spans="1:8" x14ac:dyDescent="0.2">
      <c r="A1690" s="210">
        <v>1995000862</v>
      </c>
      <c r="B1690" s="210" t="s">
        <v>238</v>
      </c>
      <c r="C1690" s="219"/>
    </row>
    <row r="1691" spans="1:8" x14ac:dyDescent="0.2">
      <c r="A1691" s="210">
        <v>1995000863</v>
      </c>
      <c r="B1691" s="210" t="s">
        <v>1268</v>
      </c>
      <c r="C1691" s="219"/>
    </row>
    <row r="1692" spans="1:8" x14ac:dyDescent="0.2">
      <c r="A1692" s="210">
        <v>1999000980</v>
      </c>
      <c r="B1692" s="210" t="s">
        <v>239</v>
      </c>
      <c r="C1692" s="219"/>
    </row>
    <row r="1693" spans="1:8" x14ac:dyDescent="0.2">
      <c r="A1693" s="210">
        <v>1999999999</v>
      </c>
      <c r="B1693" s="210" t="s">
        <v>240</v>
      </c>
      <c r="C1693" s="224"/>
      <c r="D1693" s="212"/>
      <c r="E1693" s="212"/>
      <c r="F1693" s="212"/>
      <c r="G1693" s="212"/>
      <c r="H1693" s="212"/>
    </row>
    <row r="1694" spans="1:8" s="208" customFormat="1" x14ac:dyDescent="0.2">
      <c r="C1694" s="209">
        <f t="shared" ref="C1694:H1694" si="1">SUM(C418:C1693)</f>
        <v>380977391.10822856</v>
      </c>
      <c r="D1694" s="209">
        <f t="shared" si="1"/>
        <v>363904455</v>
      </c>
      <c r="E1694" s="209">
        <f t="shared" si="1"/>
        <v>256350778.52000019</v>
      </c>
      <c r="F1694" s="209">
        <f t="shared" si="1"/>
        <v>365966980.77000028</v>
      </c>
      <c r="G1694" s="209">
        <f t="shared" si="1"/>
        <v>359173164.99000025</v>
      </c>
      <c r="H1694" s="209">
        <f t="shared" si="1"/>
        <v>338286894.57000011</v>
      </c>
    </row>
    <row r="1696" spans="1:8" s="208" customFormat="1" x14ac:dyDescent="0.2">
      <c r="B1696" s="208" t="s">
        <v>1633</v>
      </c>
      <c r="C1696" s="213">
        <f t="shared" ref="C1696:H1696" si="2">C417-C1694</f>
        <v>-0.45247101783752441</v>
      </c>
      <c r="D1696" s="213">
        <f t="shared" si="2"/>
        <v>0</v>
      </c>
      <c r="E1696" s="213">
        <f t="shared" si="2"/>
        <v>1077005.9699998498</v>
      </c>
      <c r="F1696" s="213">
        <f t="shared" si="2"/>
        <v>604066.5199996233</v>
      </c>
      <c r="G1696" s="213">
        <f t="shared" si="2"/>
        <v>-17773762.950000226</v>
      </c>
      <c r="H1696" s="213">
        <f t="shared" si="2"/>
        <v>3411.6300001740456</v>
      </c>
    </row>
  </sheetData>
  <pageMargins left="0.70866141732283472" right="0.70866141732283472" top="0.74803149606299213" bottom="0.74803149606299213" header="0.31496062992125984" footer="0.31496062992125984"/>
  <pageSetup paperSize="9" scale="75" orientation="landscape" r:id="rId1"/>
  <legacy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FF00"/>
  </sheetPr>
  <dimension ref="A1:I1580"/>
  <sheetViews>
    <sheetView rightToLeft="1" workbookViewId="0">
      <pane ySplit="1" topLeftCell="A1561" activePane="bottomLeft" state="frozen"/>
      <selection pane="bottomLeft" activeCell="F1" sqref="F1"/>
    </sheetView>
  </sheetViews>
  <sheetFormatPr baseColWidth="10" defaultColWidth="9.1640625" defaultRowHeight="15" x14ac:dyDescent="0.2"/>
  <cols>
    <col min="1" max="1" width="12.5" style="193" bestFit="1" customWidth="1"/>
    <col min="2" max="2" width="47.83203125" style="193" bestFit="1" customWidth="1"/>
    <col min="3" max="9" width="16.5" style="195" bestFit="1" customWidth="1"/>
    <col min="10" max="16384" width="9.1640625" style="193"/>
  </cols>
  <sheetData>
    <row r="1" spans="1:9" s="194" customFormat="1" x14ac:dyDescent="0.2">
      <c r="A1" s="194" t="s">
        <v>1167</v>
      </c>
      <c r="B1" s="194" t="s">
        <v>1168</v>
      </c>
      <c r="C1" s="196" t="s">
        <v>1544</v>
      </c>
      <c r="D1" s="196" t="s">
        <v>1543</v>
      </c>
      <c r="E1" s="196" t="s">
        <v>53</v>
      </c>
      <c r="F1" s="196" t="s">
        <v>91</v>
      </c>
      <c r="G1" s="196" t="s">
        <v>261</v>
      </c>
      <c r="H1" s="196" t="s">
        <v>1363</v>
      </c>
      <c r="I1" s="196" t="s">
        <v>1080</v>
      </c>
    </row>
    <row r="2" spans="1:9" x14ac:dyDescent="0.2">
      <c r="A2" s="193">
        <v>1111100100</v>
      </c>
      <c r="B2" s="193" t="s">
        <v>273</v>
      </c>
      <c r="C2" s="195">
        <v>104270000</v>
      </c>
      <c r="D2" s="195">
        <v>73035737.480000004</v>
      </c>
      <c r="E2" s="195">
        <v>104769525</v>
      </c>
      <c r="F2" s="195">
        <v>99948886.590000004</v>
      </c>
      <c r="G2" s="195">
        <v>93658957.599999994</v>
      </c>
      <c r="H2" s="195">
        <v>85325812.459999993</v>
      </c>
      <c r="I2" s="195">
        <v>77454940.859999999</v>
      </c>
    </row>
    <row r="3" spans="1:9" x14ac:dyDescent="0.2">
      <c r="A3" s="193">
        <v>1111200100</v>
      </c>
      <c r="B3" s="193" t="s">
        <v>274</v>
      </c>
      <c r="C3" s="195">
        <v>8500000</v>
      </c>
      <c r="D3" s="195">
        <v>7803061.3799999999</v>
      </c>
      <c r="E3" s="195">
        <v>10000000</v>
      </c>
      <c r="F3" s="195">
        <v>14105708.93</v>
      </c>
      <c r="G3" s="195">
        <v>30162687.68</v>
      </c>
      <c r="H3" s="195">
        <v>16242584.41</v>
      </c>
      <c r="I3" s="195">
        <v>14886755.52</v>
      </c>
    </row>
    <row r="4" spans="1:9" x14ac:dyDescent="0.2">
      <c r="A4" s="193">
        <v>1111200216</v>
      </c>
      <c r="B4" s="193" t="s">
        <v>1369</v>
      </c>
      <c r="C4" s="195">
        <v>120000</v>
      </c>
      <c r="D4" s="195">
        <v>100604.71</v>
      </c>
      <c r="E4" s="195">
        <v>75000</v>
      </c>
      <c r="F4" s="195">
        <v>116132</v>
      </c>
      <c r="G4" s="195">
        <v>31331.32</v>
      </c>
      <c r="H4" s="195">
        <v>168.2</v>
      </c>
    </row>
    <row r="5" spans="1:9" x14ac:dyDescent="0.2">
      <c r="A5" s="193">
        <v>1111300291</v>
      </c>
      <c r="B5" s="193" t="s">
        <v>275</v>
      </c>
      <c r="C5" s="195">
        <v>380000</v>
      </c>
      <c r="D5" s="195">
        <v>103317</v>
      </c>
      <c r="E5" s="195">
        <v>430000</v>
      </c>
      <c r="F5" s="195">
        <v>426316</v>
      </c>
      <c r="G5" s="195">
        <v>419635.96</v>
      </c>
      <c r="H5" s="195">
        <v>393310.45</v>
      </c>
      <c r="I5" s="195">
        <v>380126.35</v>
      </c>
    </row>
    <row r="6" spans="1:9" x14ac:dyDescent="0.2">
      <c r="A6" s="193">
        <v>1111400100</v>
      </c>
      <c r="B6" s="193" t="s">
        <v>276</v>
      </c>
      <c r="C6" s="195">
        <v>4850000</v>
      </c>
      <c r="D6" s="195">
        <v>4807627</v>
      </c>
      <c r="E6" s="195">
        <v>4850000</v>
      </c>
      <c r="F6" s="195">
        <v>4810566.0999999996</v>
      </c>
      <c r="G6" s="195">
        <v>4739242</v>
      </c>
      <c r="H6" s="195">
        <v>4666862</v>
      </c>
      <c r="I6" s="195">
        <v>4573980.71</v>
      </c>
    </row>
    <row r="7" spans="1:9" x14ac:dyDescent="0.2">
      <c r="A7" s="193">
        <v>1113000290</v>
      </c>
      <c r="B7" s="193" t="s">
        <v>505</v>
      </c>
      <c r="C7" s="195">
        <v>19190000</v>
      </c>
      <c r="E7" s="195">
        <v>19190000</v>
      </c>
      <c r="F7" s="195">
        <v>20560741.82</v>
      </c>
      <c r="G7" s="195">
        <v>18475752.329999998</v>
      </c>
      <c r="H7" s="195">
        <v>18450000</v>
      </c>
      <c r="I7" s="195">
        <v>17847234</v>
      </c>
    </row>
    <row r="8" spans="1:9" x14ac:dyDescent="0.2">
      <c r="A8" s="193">
        <v>1121000220</v>
      </c>
      <c r="B8" s="193" t="s">
        <v>1542</v>
      </c>
      <c r="D8" s="195">
        <v>980</v>
      </c>
      <c r="G8" s="195">
        <v>97</v>
      </c>
      <c r="I8" s="195">
        <v>124</v>
      </c>
    </row>
    <row r="9" spans="1:9" x14ac:dyDescent="0.2">
      <c r="A9" s="193">
        <v>1122000220</v>
      </c>
      <c r="B9" s="193" t="s">
        <v>308</v>
      </c>
      <c r="C9" s="195">
        <v>1450000</v>
      </c>
      <c r="D9" s="195">
        <v>1061245.95</v>
      </c>
      <c r="E9" s="195">
        <v>1580000</v>
      </c>
      <c r="F9" s="195">
        <v>1419059.92</v>
      </c>
      <c r="G9" s="195">
        <v>1246440.6499999999</v>
      </c>
      <c r="H9" s="195">
        <v>1441839.41</v>
      </c>
      <c r="I9" s="195">
        <v>1351320.54</v>
      </c>
    </row>
    <row r="10" spans="1:9" x14ac:dyDescent="0.2">
      <c r="A10" s="193">
        <v>1122000221</v>
      </c>
      <c r="B10" s="193" t="s">
        <v>1370</v>
      </c>
      <c r="C10" s="195">
        <v>250000</v>
      </c>
      <c r="D10" s="195">
        <v>205756</v>
      </c>
      <c r="E10" s="195">
        <v>380000</v>
      </c>
      <c r="F10" s="195">
        <v>330171.59999999998</v>
      </c>
      <c r="G10" s="195">
        <v>386624.33</v>
      </c>
      <c r="H10" s="195">
        <v>89009.63</v>
      </c>
    </row>
    <row r="11" spans="1:9" x14ac:dyDescent="0.2">
      <c r="A11" s="193">
        <v>1123000220</v>
      </c>
      <c r="B11" s="193" t="s">
        <v>1171</v>
      </c>
      <c r="G11" s="195">
        <v>330.6</v>
      </c>
      <c r="I11" s="195">
        <v>886839.16</v>
      </c>
    </row>
    <row r="12" spans="1:9" x14ac:dyDescent="0.2">
      <c r="A12" s="193">
        <v>1124100220</v>
      </c>
      <c r="B12" s="193" t="s">
        <v>309</v>
      </c>
      <c r="C12" s="195">
        <v>3000</v>
      </c>
      <c r="D12" s="195">
        <v>1249</v>
      </c>
      <c r="E12" s="195">
        <v>3000</v>
      </c>
      <c r="F12" s="195">
        <v>2595</v>
      </c>
      <c r="G12" s="195">
        <v>2822</v>
      </c>
      <c r="H12" s="195">
        <v>3307</v>
      </c>
      <c r="I12" s="195">
        <v>2187</v>
      </c>
    </row>
    <row r="13" spans="1:9" x14ac:dyDescent="0.2">
      <c r="A13" s="193">
        <v>1129100220</v>
      </c>
      <c r="B13" s="193" t="s">
        <v>310</v>
      </c>
      <c r="C13" s="195">
        <v>100000</v>
      </c>
      <c r="D13" s="195">
        <v>72274.399999999994</v>
      </c>
      <c r="E13" s="195">
        <v>100000</v>
      </c>
      <c r="F13" s="195">
        <v>153445.93</v>
      </c>
      <c r="G13" s="195">
        <v>28879.61</v>
      </c>
      <c r="H13" s="195">
        <v>9191.89</v>
      </c>
      <c r="I13" s="195">
        <v>7345.96</v>
      </c>
    </row>
    <row r="14" spans="1:9" x14ac:dyDescent="0.2">
      <c r="A14" s="193">
        <v>1129100221</v>
      </c>
      <c r="B14" s="193" t="s">
        <v>311</v>
      </c>
      <c r="C14" s="195">
        <v>350000</v>
      </c>
      <c r="D14" s="195">
        <v>252203.15</v>
      </c>
      <c r="E14" s="195">
        <v>620000</v>
      </c>
      <c r="F14" s="195">
        <v>641146.96</v>
      </c>
      <c r="G14" s="195">
        <v>738562.45</v>
      </c>
      <c r="H14" s="195">
        <v>554781.39</v>
      </c>
      <c r="I14" s="195">
        <v>291375.12</v>
      </c>
    </row>
    <row r="15" spans="1:9" x14ac:dyDescent="0.2">
      <c r="A15" s="193">
        <v>1160000662</v>
      </c>
      <c r="B15" s="193" t="s">
        <v>312</v>
      </c>
      <c r="C15" s="195">
        <v>2500000</v>
      </c>
      <c r="D15" s="195">
        <v>3999098.97</v>
      </c>
      <c r="E15" s="195">
        <v>5153000</v>
      </c>
      <c r="F15" s="195">
        <v>3001817.73</v>
      </c>
      <c r="G15" s="195">
        <v>258665.72</v>
      </c>
      <c r="H15" s="195">
        <v>2717063.43</v>
      </c>
      <c r="I15" s="195">
        <v>331473.2</v>
      </c>
    </row>
    <row r="16" spans="1:9" x14ac:dyDescent="0.2">
      <c r="A16" s="193">
        <v>1191000910</v>
      </c>
      <c r="B16" s="193" t="s">
        <v>500</v>
      </c>
      <c r="C16" s="195">
        <v>42000000</v>
      </c>
      <c r="D16" s="195">
        <v>27334199.800000001</v>
      </c>
      <c r="E16" s="195">
        <v>41596000</v>
      </c>
      <c r="F16" s="195">
        <v>41072233.93</v>
      </c>
      <c r="G16" s="195">
        <v>42394537</v>
      </c>
      <c r="H16" s="195">
        <v>41051814.460000001</v>
      </c>
      <c r="I16" s="195">
        <v>36132087.439999998</v>
      </c>
    </row>
    <row r="17" spans="1:9" x14ac:dyDescent="0.2">
      <c r="A17" s="193">
        <v>1192000910</v>
      </c>
      <c r="B17" s="193" t="s">
        <v>501</v>
      </c>
      <c r="C17" s="195">
        <v>1300000</v>
      </c>
      <c r="D17" s="195">
        <v>1461014</v>
      </c>
      <c r="E17" s="195">
        <v>3818000</v>
      </c>
      <c r="F17" s="195">
        <v>3346900</v>
      </c>
      <c r="G17" s="195">
        <v>1498728</v>
      </c>
      <c r="H17" s="195">
        <v>1299116</v>
      </c>
      <c r="I17" s="195">
        <v>1303642</v>
      </c>
    </row>
    <row r="18" spans="1:9" x14ac:dyDescent="0.2">
      <c r="A18" s="193">
        <v>1194000910</v>
      </c>
      <c r="B18" s="193" t="s">
        <v>1371</v>
      </c>
    </row>
    <row r="19" spans="1:9" x14ac:dyDescent="0.2">
      <c r="A19" s="193">
        <v>1194000912</v>
      </c>
      <c r="B19" s="193" t="s">
        <v>1372</v>
      </c>
    </row>
    <row r="20" spans="1:9" x14ac:dyDescent="0.2">
      <c r="A20" s="193">
        <v>1196000910</v>
      </c>
      <c r="B20" s="193" t="s">
        <v>1373</v>
      </c>
    </row>
    <row r="21" spans="1:9" x14ac:dyDescent="0.2">
      <c r="A21" s="193">
        <v>1196000920</v>
      </c>
      <c r="B21" s="193" t="s">
        <v>71</v>
      </c>
    </row>
    <row r="22" spans="1:9" x14ac:dyDescent="0.2">
      <c r="A22" s="193">
        <v>1212300241</v>
      </c>
      <c r="B22" s="193" t="s">
        <v>1374</v>
      </c>
    </row>
    <row r="23" spans="1:9" x14ac:dyDescent="0.2">
      <c r="A23" s="193">
        <v>1212300290</v>
      </c>
      <c r="B23" s="193" t="s">
        <v>1375</v>
      </c>
    </row>
    <row r="24" spans="1:9" x14ac:dyDescent="0.2">
      <c r="A24" s="193">
        <v>1212300690</v>
      </c>
      <c r="B24" s="193" t="s">
        <v>313</v>
      </c>
      <c r="C24" s="195">
        <v>10000</v>
      </c>
      <c r="D24" s="195">
        <v>2000</v>
      </c>
      <c r="E24" s="195">
        <v>30000</v>
      </c>
      <c r="F24" s="195">
        <v>34950</v>
      </c>
      <c r="G24" s="195">
        <v>16500</v>
      </c>
      <c r="H24" s="195">
        <v>17000</v>
      </c>
      <c r="I24" s="195">
        <v>3000</v>
      </c>
    </row>
    <row r="25" spans="1:9" x14ac:dyDescent="0.2">
      <c r="A25" s="193">
        <v>1212400220</v>
      </c>
      <c r="B25" s="193" t="s">
        <v>314</v>
      </c>
      <c r="C25" s="195">
        <v>700000</v>
      </c>
      <c r="D25" s="195">
        <v>489957.51</v>
      </c>
      <c r="E25" s="195">
        <v>800000</v>
      </c>
      <c r="F25" s="195">
        <v>555083.80000000005</v>
      </c>
      <c r="G25" s="195">
        <v>523715.26</v>
      </c>
      <c r="H25" s="195">
        <v>656117.15</v>
      </c>
      <c r="I25" s="195">
        <v>538929.30000000005</v>
      </c>
    </row>
    <row r="26" spans="1:9" x14ac:dyDescent="0.2">
      <c r="A26" s="193">
        <v>1212400221</v>
      </c>
      <c r="B26" s="193" t="s">
        <v>315</v>
      </c>
      <c r="C26" s="195">
        <v>150000</v>
      </c>
      <c r="D26" s="195">
        <v>105693.9</v>
      </c>
      <c r="E26" s="195">
        <v>150000</v>
      </c>
      <c r="F26" s="195">
        <v>259540.92</v>
      </c>
      <c r="G26" s="195">
        <v>239297.05</v>
      </c>
      <c r="H26" s="195">
        <v>20045.96</v>
      </c>
    </row>
    <row r="27" spans="1:9" x14ac:dyDescent="0.2">
      <c r="A27" s="193">
        <v>1212500920</v>
      </c>
      <c r="B27" s="193" t="s">
        <v>1458</v>
      </c>
      <c r="E27" s="195">
        <v>1150000</v>
      </c>
    </row>
    <row r="28" spans="1:9" x14ac:dyDescent="0.2">
      <c r="A28" s="193">
        <v>1213000220</v>
      </c>
      <c r="B28" s="193" t="s">
        <v>316</v>
      </c>
      <c r="C28" s="195">
        <v>40000</v>
      </c>
      <c r="D28" s="195">
        <v>29502.6</v>
      </c>
      <c r="E28" s="195">
        <v>40000</v>
      </c>
      <c r="F28" s="195">
        <v>34325</v>
      </c>
      <c r="G28" s="195">
        <v>50808.9</v>
      </c>
      <c r="H28" s="195">
        <v>41533</v>
      </c>
      <c r="I28" s="195">
        <v>46022.59</v>
      </c>
    </row>
    <row r="29" spans="1:9" x14ac:dyDescent="0.2">
      <c r="A29" s="193">
        <v>1213000221</v>
      </c>
      <c r="B29" s="193" t="s">
        <v>1376</v>
      </c>
      <c r="G29" s="195">
        <v>342.7</v>
      </c>
    </row>
    <row r="30" spans="1:9" x14ac:dyDescent="0.2">
      <c r="A30" s="193">
        <v>1214200220</v>
      </c>
      <c r="B30" s="193" t="s">
        <v>1377</v>
      </c>
    </row>
    <row r="31" spans="1:9" x14ac:dyDescent="0.2">
      <c r="A31" s="193">
        <v>1214200221</v>
      </c>
      <c r="B31" s="193" t="s">
        <v>317</v>
      </c>
      <c r="C31" s="195">
        <v>80000</v>
      </c>
      <c r="D31" s="195">
        <v>63717</v>
      </c>
      <c r="E31" s="195">
        <v>37000</v>
      </c>
      <c r="F31" s="195">
        <v>45805</v>
      </c>
      <c r="G31" s="195">
        <v>52673</v>
      </c>
      <c r="H31" s="195">
        <v>64995</v>
      </c>
      <c r="I31" s="195">
        <v>117237</v>
      </c>
    </row>
    <row r="32" spans="1:9" x14ac:dyDescent="0.2">
      <c r="A32" s="193">
        <v>1214200490</v>
      </c>
      <c r="B32" s="193" t="s">
        <v>691</v>
      </c>
    </row>
    <row r="33" spans="1:9" x14ac:dyDescent="0.2">
      <c r="A33" s="193">
        <v>1214200960</v>
      </c>
      <c r="B33" s="193" t="s">
        <v>491</v>
      </c>
      <c r="C33" s="195">
        <v>200000</v>
      </c>
      <c r="D33" s="195">
        <v>200000</v>
      </c>
      <c r="E33" s="195">
        <v>275000</v>
      </c>
      <c r="F33" s="195">
        <v>200000</v>
      </c>
      <c r="G33" s="195">
        <v>400000</v>
      </c>
      <c r="H33" s="195">
        <v>100000</v>
      </c>
    </row>
    <row r="34" spans="1:9" x14ac:dyDescent="0.2">
      <c r="A34" s="193">
        <v>1214201220</v>
      </c>
      <c r="B34" s="193" t="s">
        <v>1378</v>
      </c>
      <c r="I34" s="195">
        <v>210.5</v>
      </c>
    </row>
    <row r="35" spans="1:9" x14ac:dyDescent="0.2">
      <c r="A35" s="193">
        <v>1214300220</v>
      </c>
      <c r="B35" s="193" t="s">
        <v>318</v>
      </c>
      <c r="C35" s="195">
        <v>130000</v>
      </c>
      <c r="D35" s="195">
        <v>95253.58</v>
      </c>
      <c r="E35" s="195">
        <v>130000</v>
      </c>
      <c r="F35" s="195">
        <v>141765.10999999999</v>
      </c>
      <c r="G35" s="195">
        <v>121723.37</v>
      </c>
      <c r="H35" s="195">
        <v>114352</v>
      </c>
      <c r="I35" s="195">
        <v>119083.35</v>
      </c>
    </row>
    <row r="36" spans="1:9" x14ac:dyDescent="0.2">
      <c r="A36" s="193">
        <v>1214300690</v>
      </c>
      <c r="B36" s="193" t="s">
        <v>1379</v>
      </c>
    </row>
    <row r="37" spans="1:9" x14ac:dyDescent="0.2">
      <c r="A37" s="193">
        <v>1214300691</v>
      </c>
      <c r="B37" s="193" t="s">
        <v>1380</v>
      </c>
    </row>
    <row r="38" spans="1:9" x14ac:dyDescent="0.2">
      <c r="A38" s="193">
        <v>1214301220</v>
      </c>
      <c r="B38" s="193" t="s">
        <v>319</v>
      </c>
      <c r="C38" s="195">
        <v>20000</v>
      </c>
      <c r="D38" s="195">
        <v>9837.5</v>
      </c>
      <c r="E38" s="195">
        <v>25000</v>
      </c>
      <c r="F38" s="195">
        <v>19748.5</v>
      </c>
      <c r="G38" s="195">
        <v>15016.5</v>
      </c>
      <c r="H38" s="195">
        <v>28053</v>
      </c>
      <c r="I38" s="195">
        <v>39774.5</v>
      </c>
    </row>
    <row r="39" spans="1:9" x14ac:dyDescent="0.2">
      <c r="A39" s="193">
        <v>1215200910</v>
      </c>
      <c r="B39" s="193" t="s">
        <v>1381</v>
      </c>
    </row>
    <row r="40" spans="1:9" x14ac:dyDescent="0.2">
      <c r="A40" s="193">
        <v>1222000440</v>
      </c>
      <c r="B40" s="193" t="s">
        <v>320</v>
      </c>
      <c r="C40" s="195">
        <v>35000</v>
      </c>
      <c r="D40" s="195">
        <v>23675</v>
      </c>
      <c r="E40" s="195">
        <v>65000</v>
      </c>
      <c r="F40" s="195">
        <v>61859</v>
      </c>
      <c r="G40" s="195">
        <v>52809</v>
      </c>
      <c r="H40" s="195">
        <v>48541</v>
      </c>
      <c r="I40" s="195">
        <v>9960</v>
      </c>
    </row>
    <row r="41" spans="1:9" x14ac:dyDescent="0.2">
      <c r="A41" s="193">
        <v>1222000910</v>
      </c>
      <c r="B41" s="193" t="s">
        <v>1382</v>
      </c>
    </row>
    <row r="42" spans="1:9" x14ac:dyDescent="0.2">
      <c r="A42" s="193">
        <v>1222100400</v>
      </c>
      <c r="B42" s="193" t="s">
        <v>321</v>
      </c>
      <c r="C42" s="195">
        <v>200000</v>
      </c>
      <c r="D42" s="195">
        <v>177164.92</v>
      </c>
      <c r="E42" s="195">
        <v>200000</v>
      </c>
      <c r="F42" s="195">
        <v>163637.17000000001</v>
      </c>
      <c r="G42" s="195">
        <v>273515.86</v>
      </c>
      <c r="H42" s="195">
        <v>255803.78</v>
      </c>
      <c r="I42" s="195">
        <v>260825.52</v>
      </c>
    </row>
    <row r="43" spans="1:9" x14ac:dyDescent="0.2">
      <c r="A43" s="193">
        <v>1222100440</v>
      </c>
      <c r="B43" s="193" t="s">
        <v>322</v>
      </c>
      <c r="C43" s="195">
        <v>2800000</v>
      </c>
      <c r="D43" s="195">
        <v>1822035.3</v>
      </c>
      <c r="E43" s="195">
        <v>2800000</v>
      </c>
      <c r="F43" s="195">
        <v>1913300.43</v>
      </c>
      <c r="G43" s="195">
        <v>1839286.62</v>
      </c>
      <c r="H43" s="195">
        <v>1853674.58</v>
      </c>
      <c r="I43" s="195">
        <v>1591472.86</v>
      </c>
    </row>
    <row r="44" spans="1:9" x14ac:dyDescent="0.2">
      <c r="A44" s="193">
        <v>1222100910</v>
      </c>
      <c r="B44" s="193" t="s">
        <v>492</v>
      </c>
      <c r="C44" s="195">
        <v>15000</v>
      </c>
      <c r="E44" s="195">
        <v>15000</v>
      </c>
      <c r="F44" s="195">
        <v>10287</v>
      </c>
      <c r="G44" s="195">
        <v>11746</v>
      </c>
      <c r="H44" s="195">
        <v>24548</v>
      </c>
      <c r="I44" s="195">
        <v>21487</v>
      </c>
    </row>
    <row r="45" spans="1:9" x14ac:dyDescent="0.2">
      <c r="A45" s="193">
        <v>1223000410</v>
      </c>
      <c r="B45" s="193" t="s">
        <v>1177</v>
      </c>
      <c r="I45" s="195">
        <v>6463</v>
      </c>
    </row>
    <row r="46" spans="1:9" x14ac:dyDescent="0.2">
      <c r="A46" s="193">
        <v>1231000290</v>
      </c>
      <c r="B46" s="193" t="s">
        <v>1541</v>
      </c>
    </row>
    <row r="47" spans="1:9" x14ac:dyDescent="0.2">
      <c r="A47" s="193">
        <v>1233000690</v>
      </c>
      <c r="B47" s="193" t="s">
        <v>323</v>
      </c>
      <c r="C47" s="195">
        <v>20000</v>
      </c>
      <c r="D47" s="195">
        <v>22064.46</v>
      </c>
      <c r="E47" s="195">
        <v>18000</v>
      </c>
      <c r="F47" s="195">
        <v>26472.04</v>
      </c>
      <c r="G47" s="195">
        <v>11793.6</v>
      </c>
      <c r="H47" s="195">
        <v>7560</v>
      </c>
      <c r="I47" s="195">
        <v>7438</v>
      </c>
    </row>
    <row r="48" spans="1:9" x14ac:dyDescent="0.2">
      <c r="A48" s="193">
        <v>1233100220</v>
      </c>
      <c r="B48" s="193" t="s">
        <v>324</v>
      </c>
      <c r="C48" s="195">
        <v>2500000</v>
      </c>
      <c r="D48" s="195">
        <v>1173957.48</v>
      </c>
      <c r="E48" s="195">
        <v>2500000</v>
      </c>
      <c r="F48" s="195">
        <v>2636570.41</v>
      </c>
      <c r="G48" s="195">
        <v>2293573.2999999998</v>
      </c>
      <c r="H48" s="195">
        <v>2699179.5</v>
      </c>
      <c r="I48" s="195">
        <v>1311500.3</v>
      </c>
    </row>
    <row r="49" spans="1:9" x14ac:dyDescent="0.2">
      <c r="A49" s="193">
        <v>1233200220</v>
      </c>
      <c r="B49" s="193" t="s">
        <v>1368</v>
      </c>
      <c r="G49" s="195">
        <v>117</v>
      </c>
      <c r="H49" s="195">
        <v>509</v>
      </c>
    </row>
    <row r="50" spans="1:9" x14ac:dyDescent="0.2">
      <c r="A50" s="193">
        <v>1233200290</v>
      </c>
      <c r="B50" s="193" t="s">
        <v>325</v>
      </c>
      <c r="C50" s="195">
        <v>5000000</v>
      </c>
      <c r="D50" s="195">
        <v>5889907.9000000004</v>
      </c>
      <c r="E50" s="195">
        <v>8218000</v>
      </c>
      <c r="F50" s="195">
        <v>3095244</v>
      </c>
      <c r="G50" s="195">
        <v>2756585.5</v>
      </c>
      <c r="H50" s="195">
        <v>3903318.7</v>
      </c>
      <c r="I50" s="195">
        <v>3285487.16</v>
      </c>
    </row>
    <row r="51" spans="1:9" x14ac:dyDescent="0.2">
      <c r="A51" s="193">
        <v>1233300290</v>
      </c>
      <c r="B51" s="193" t="s">
        <v>326</v>
      </c>
      <c r="D51" s="195">
        <v>270</v>
      </c>
      <c r="F51" s="195">
        <v>445</v>
      </c>
      <c r="G51" s="195">
        <v>465</v>
      </c>
      <c r="H51" s="195">
        <v>350</v>
      </c>
      <c r="I51" s="195">
        <v>11795</v>
      </c>
    </row>
    <row r="52" spans="1:9" x14ac:dyDescent="0.2">
      <c r="A52" s="193">
        <v>1242000215</v>
      </c>
      <c r="B52" s="193" t="s">
        <v>327</v>
      </c>
      <c r="F52" s="195">
        <v>-27.6</v>
      </c>
      <c r="G52" s="195">
        <v>0.2</v>
      </c>
    </row>
    <row r="53" spans="1:9" x14ac:dyDescent="0.2">
      <c r="A53" s="193">
        <v>1242000220</v>
      </c>
      <c r="B53" s="193" t="s">
        <v>328</v>
      </c>
      <c r="C53" s="195">
        <v>150000</v>
      </c>
      <c r="D53" s="195">
        <v>71718.33</v>
      </c>
      <c r="E53" s="195">
        <v>180000</v>
      </c>
      <c r="F53" s="195">
        <v>180676.5</v>
      </c>
      <c r="G53" s="195">
        <v>180323.19</v>
      </c>
      <c r="H53" s="195">
        <v>154666.67000000001</v>
      </c>
      <c r="I53" s="195">
        <v>138970.64000000001</v>
      </c>
    </row>
    <row r="54" spans="1:9" x14ac:dyDescent="0.2">
      <c r="A54" s="193">
        <v>1242000221</v>
      </c>
      <c r="B54" s="193" t="s">
        <v>1383</v>
      </c>
      <c r="D54" s="195">
        <v>11168.6</v>
      </c>
      <c r="G54" s="195">
        <v>3993</v>
      </c>
    </row>
    <row r="55" spans="1:9" x14ac:dyDescent="0.2">
      <c r="A55" s="193">
        <v>1242000690</v>
      </c>
      <c r="B55" s="193" t="s">
        <v>329</v>
      </c>
      <c r="C55" s="195">
        <v>20000</v>
      </c>
      <c r="D55" s="195">
        <v>6393</v>
      </c>
      <c r="E55" s="195">
        <v>40000</v>
      </c>
      <c r="F55" s="195">
        <v>74117</v>
      </c>
      <c r="G55" s="195">
        <v>28335</v>
      </c>
      <c r="H55" s="195">
        <v>33000</v>
      </c>
      <c r="I55" s="195">
        <v>9500</v>
      </c>
    </row>
    <row r="56" spans="1:9" x14ac:dyDescent="0.2">
      <c r="A56" s="193">
        <v>1246100960</v>
      </c>
      <c r="B56" s="193" t="s">
        <v>1384</v>
      </c>
    </row>
    <row r="57" spans="1:9" x14ac:dyDescent="0.2">
      <c r="A57" s="193">
        <v>1247200420</v>
      </c>
      <c r="B57" s="193" t="s">
        <v>1385</v>
      </c>
    </row>
    <row r="58" spans="1:9" x14ac:dyDescent="0.2">
      <c r="A58" s="193">
        <v>1261000421</v>
      </c>
      <c r="B58" s="193" t="s">
        <v>330</v>
      </c>
      <c r="C58" s="195">
        <v>200000</v>
      </c>
      <c r="D58" s="195">
        <v>390000</v>
      </c>
      <c r="E58" s="195">
        <v>390000</v>
      </c>
      <c r="G58" s="195">
        <v>150000</v>
      </c>
      <c r="H58" s="195">
        <v>150000</v>
      </c>
      <c r="I58" s="195">
        <v>150000</v>
      </c>
    </row>
    <row r="59" spans="1:9" x14ac:dyDescent="0.2">
      <c r="A59" s="193">
        <v>1269000662</v>
      </c>
      <c r="B59" s="193" t="s">
        <v>331</v>
      </c>
      <c r="C59" s="195">
        <v>5000</v>
      </c>
      <c r="D59" s="195">
        <v>25.77</v>
      </c>
      <c r="E59" s="195">
        <v>20000</v>
      </c>
      <c r="F59" s="195">
        <v>14920.5</v>
      </c>
      <c r="G59" s="195">
        <v>14099.93</v>
      </c>
      <c r="H59" s="195">
        <v>15876.07</v>
      </c>
      <c r="I59" s="195">
        <v>5088.95</v>
      </c>
    </row>
    <row r="60" spans="1:9" x14ac:dyDescent="0.2">
      <c r="A60" s="193">
        <v>1269000780</v>
      </c>
      <c r="B60" s="193" t="s">
        <v>835</v>
      </c>
      <c r="H60" s="195">
        <v>50000</v>
      </c>
    </row>
    <row r="61" spans="1:9" x14ac:dyDescent="0.2">
      <c r="A61" s="193">
        <v>1269000790</v>
      </c>
      <c r="B61" s="193" t="s">
        <v>331</v>
      </c>
      <c r="C61" s="195">
        <v>125000</v>
      </c>
      <c r="D61" s="195">
        <v>92453.87</v>
      </c>
      <c r="E61" s="195">
        <v>240000</v>
      </c>
      <c r="F61" s="195">
        <v>132311.29</v>
      </c>
      <c r="G61" s="195">
        <v>157214.23000000001</v>
      </c>
      <c r="H61" s="195">
        <v>103295.47</v>
      </c>
      <c r="I61" s="195">
        <v>155813.22</v>
      </c>
    </row>
    <row r="62" spans="1:9" x14ac:dyDescent="0.2">
      <c r="A62" s="193">
        <v>1269100662</v>
      </c>
      <c r="B62" s="193" t="s">
        <v>1386</v>
      </c>
    </row>
    <row r="63" spans="1:9" x14ac:dyDescent="0.2">
      <c r="A63" s="193">
        <v>1281000215</v>
      </c>
      <c r="B63" s="193" t="s">
        <v>332</v>
      </c>
      <c r="C63" s="195">
        <v>55000</v>
      </c>
      <c r="D63" s="195">
        <v>34568.660000000003</v>
      </c>
      <c r="E63" s="195">
        <v>55000</v>
      </c>
      <c r="F63" s="195">
        <v>49423.66</v>
      </c>
      <c r="G63" s="195">
        <v>108973.36</v>
      </c>
      <c r="H63" s="195">
        <v>64072.05</v>
      </c>
      <c r="I63" s="195">
        <v>43073.27</v>
      </c>
    </row>
    <row r="64" spans="1:9" x14ac:dyDescent="0.2">
      <c r="A64" s="193">
        <v>1281000222</v>
      </c>
      <c r="B64" s="193" t="s">
        <v>1540</v>
      </c>
      <c r="F64" s="195">
        <v>30</v>
      </c>
    </row>
    <row r="65" spans="1:9" x14ac:dyDescent="0.2">
      <c r="A65" s="193">
        <v>1281000231</v>
      </c>
      <c r="B65" s="193" t="s">
        <v>54</v>
      </c>
      <c r="F65" s="195">
        <v>675.2</v>
      </c>
    </row>
    <row r="66" spans="1:9" x14ac:dyDescent="0.2">
      <c r="A66" s="193">
        <v>1281000990</v>
      </c>
      <c r="B66" s="193" t="s">
        <v>55</v>
      </c>
      <c r="F66" s="195">
        <v>48743.17</v>
      </c>
    </row>
    <row r="67" spans="1:9" x14ac:dyDescent="0.2">
      <c r="A67" s="193">
        <v>1282000490</v>
      </c>
      <c r="B67" s="193" t="s">
        <v>333</v>
      </c>
      <c r="C67" s="195">
        <v>250000</v>
      </c>
      <c r="D67" s="195">
        <v>198642.98</v>
      </c>
      <c r="E67" s="195">
        <v>347800</v>
      </c>
      <c r="F67" s="195">
        <v>220451.8</v>
      </c>
      <c r="G67" s="195">
        <v>402770.94</v>
      </c>
      <c r="H67" s="195">
        <v>594806.93999999994</v>
      </c>
      <c r="I67" s="195">
        <v>589036.44999999995</v>
      </c>
    </row>
    <row r="68" spans="1:9" x14ac:dyDescent="0.2">
      <c r="A68" s="193">
        <v>1311000690</v>
      </c>
      <c r="B68" s="193" t="s">
        <v>1184</v>
      </c>
      <c r="C68" s="195">
        <v>15000</v>
      </c>
      <c r="D68" s="195">
        <v>20500</v>
      </c>
      <c r="G68" s="195">
        <v>13000</v>
      </c>
      <c r="H68" s="195">
        <v>8750</v>
      </c>
      <c r="I68" s="195">
        <v>11500</v>
      </c>
    </row>
    <row r="69" spans="1:9" x14ac:dyDescent="0.2">
      <c r="A69" s="193">
        <v>1312200440</v>
      </c>
      <c r="B69" s="193" t="s">
        <v>284</v>
      </c>
      <c r="C69" s="195">
        <v>5000</v>
      </c>
      <c r="E69" s="195">
        <v>5000</v>
      </c>
      <c r="F69" s="195">
        <v>2170</v>
      </c>
      <c r="G69" s="195">
        <v>5998</v>
      </c>
      <c r="H69" s="195">
        <v>22095</v>
      </c>
    </row>
    <row r="70" spans="1:9" x14ac:dyDescent="0.2">
      <c r="A70" s="193">
        <v>1312200790</v>
      </c>
      <c r="B70" s="193" t="s">
        <v>1387</v>
      </c>
      <c r="C70" s="195">
        <v>129114</v>
      </c>
      <c r="D70" s="195">
        <v>66718</v>
      </c>
      <c r="E70" s="195">
        <v>129114</v>
      </c>
      <c r="F70" s="195">
        <v>134080</v>
      </c>
      <c r="G70" s="195">
        <v>64386.9</v>
      </c>
      <c r="H70" s="195">
        <v>140467.69</v>
      </c>
    </row>
    <row r="71" spans="1:9" x14ac:dyDescent="0.2">
      <c r="A71" s="193">
        <v>1312200920</v>
      </c>
      <c r="B71" s="193" t="s">
        <v>1388</v>
      </c>
      <c r="F71" s="195">
        <v>151.68</v>
      </c>
      <c r="I71" s="195">
        <v>50.56</v>
      </c>
    </row>
    <row r="72" spans="1:9" x14ac:dyDescent="0.2">
      <c r="A72" s="193">
        <v>1312210920</v>
      </c>
      <c r="B72" s="193" t="s">
        <v>362</v>
      </c>
      <c r="C72" s="195">
        <v>13084784</v>
      </c>
      <c r="D72" s="195">
        <v>10786531.15</v>
      </c>
      <c r="E72" s="195">
        <v>13084784</v>
      </c>
      <c r="F72" s="195">
        <v>13853322.76</v>
      </c>
      <c r="G72" s="195">
        <v>12815180.91</v>
      </c>
      <c r="H72" s="195">
        <v>11520888.91</v>
      </c>
      <c r="I72" s="195">
        <v>10632839.359999999</v>
      </c>
    </row>
    <row r="73" spans="1:9" x14ac:dyDescent="0.2">
      <c r="A73" s="193">
        <v>1312220920</v>
      </c>
      <c r="B73" s="193" t="s">
        <v>363</v>
      </c>
      <c r="C73" s="195">
        <v>3890126</v>
      </c>
      <c r="D73" s="195">
        <v>1966270.42</v>
      </c>
      <c r="E73" s="195">
        <v>3890126</v>
      </c>
      <c r="F73" s="195">
        <v>3832371.75</v>
      </c>
      <c r="G73" s="195">
        <v>3738152</v>
      </c>
      <c r="H73" s="195">
        <v>3390680</v>
      </c>
      <c r="I73" s="195">
        <v>3570367.44</v>
      </c>
    </row>
    <row r="74" spans="1:9" x14ac:dyDescent="0.2">
      <c r="A74" s="193">
        <v>1312230920</v>
      </c>
      <c r="B74" s="193" t="s">
        <v>364</v>
      </c>
      <c r="C74" s="195">
        <v>20000</v>
      </c>
      <c r="D74" s="195">
        <v>24070</v>
      </c>
      <c r="E74" s="195">
        <v>20000</v>
      </c>
      <c r="F74" s="195">
        <v>25378.9</v>
      </c>
      <c r="G74" s="195">
        <v>26856.44</v>
      </c>
      <c r="H74" s="195">
        <v>27818.400000000001</v>
      </c>
      <c r="I74" s="195">
        <v>25114</v>
      </c>
    </row>
    <row r="75" spans="1:9" x14ac:dyDescent="0.2">
      <c r="A75" s="193">
        <v>1312500440</v>
      </c>
      <c r="B75" s="193" t="s">
        <v>286</v>
      </c>
      <c r="C75" s="195">
        <v>1759904</v>
      </c>
      <c r="D75" s="195">
        <v>1122317.95</v>
      </c>
      <c r="E75" s="195">
        <v>1759904</v>
      </c>
      <c r="F75" s="195">
        <v>1201917.8</v>
      </c>
      <c r="G75" s="195">
        <v>1116616.2</v>
      </c>
      <c r="H75" s="195">
        <v>914511.5</v>
      </c>
      <c r="I75" s="195">
        <v>960942.8</v>
      </c>
    </row>
    <row r="76" spans="1:9" x14ac:dyDescent="0.2">
      <c r="A76" s="193">
        <v>1312501440</v>
      </c>
      <c r="B76" s="193" t="s">
        <v>287</v>
      </c>
      <c r="C76" s="195">
        <v>620105</v>
      </c>
      <c r="D76" s="195">
        <v>464113.4</v>
      </c>
      <c r="E76" s="195">
        <v>620105</v>
      </c>
      <c r="F76" s="195">
        <v>514024.4</v>
      </c>
      <c r="G76" s="195">
        <v>408646</v>
      </c>
      <c r="H76" s="195">
        <v>276121</v>
      </c>
      <c r="I76" s="195">
        <v>489055.8</v>
      </c>
    </row>
    <row r="77" spans="1:9" x14ac:dyDescent="0.2">
      <c r="A77" s="193">
        <v>1312501441</v>
      </c>
      <c r="B77" s="193" t="s">
        <v>1389</v>
      </c>
    </row>
    <row r="78" spans="1:9" x14ac:dyDescent="0.2">
      <c r="A78" s="193">
        <v>1312501920</v>
      </c>
      <c r="B78" s="193" t="s">
        <v>365</v>
      </c>
      <c r="C78" s="195">
        <v>1127464</v>
      </c>
      <c r="D78" s="195">
        <v>598950</v>
      </c>
      <c r="E78" s="195">
        <v>1127464</v>
      </c>
      <c r="F78" s="195">
        <v>888491</v>
      </c>
      <c r="G78" s="195">
        <v>1230050</v>
      </c>
      <c r="H78" s="195">
        <v>1160169</v>
      </c>
      <c r="I78" s="195">
        <v>1320077</v>
      </c>
    </row>
    <row r="79" spans="1:9" x14ac:dyDescent="0.2">
      <c r="A79" s="193">
        <v>1313200410</v>
      </c>
      <c r="B79" s="193" t="s">
        <v>1390</v>
      </c>
      <c r="D79" s="195">
        <v>8000</v>
      </c>
      <c r="F79" s="195">
        <v>11550</v>
      </c>
      <c r="H79" s="195">
        <v>61880</v>
      </c>
    </row>
    <row r="80" spans="1:9" x14ac:dyDescent="0.2">
      <c r="A80" s="193">
        <v>1313200440</v>
      </c>
      <c r="B80" s="193" t="s">
        <v>1391</v>
      </c>
      <c r="F80" s="195">
        <v>437</v>
      </c>
    </row>
    <row r="81" spans="1:9" x14ac:dyDescent="0.2">
      <c r="A81" s="193">
        <v>1313200920</v>
      </c>
      <c r="B81" s="193" t="s">
        <v>56</v>
      </c>
      <c r="C81" s="195">
        <v>953107</v>
      </c>
      <c r="D81" s="195">
        <v>990400</v>
      </c>
      <c r="E81" s="195">
        <v>953107</v>
      </c>
      <c r="F81" s="195">
        <v>1076309.49</v>
      </c>
    </row>
    <row r="82" spans="1:9" x14ac:dyDescent="0.2">
      <c r="A82" s="193">
        <v>1313200921</v>
      </c>
      <c r="B82" s="193" t="s">
        <v>1391</v>
      </c>
    </row>
    <row r="83" spans="1:9" x14ac:dyDescent="0.2">
      <c r="A83" s="193">
        <v>1313200922</v>
      </c>
      <c r="B83" s="193" t="s">
        <v>92</v>
      </c>
    </row>
    <row r="84" spans="1:9" x14ac:dyDescent="0.2">
      <c r="A84" s="193">
        <v>1313201410</v>
      </c>
      <c r="B84" s="193" t="s">
        <v>288</v>
      </c>
    </row>
    <row r="85" spans="1:9" x14ac:dyDescent="0.2">
      <c r="A85" s="193">
        <v>1313201920</v>
      </c>
      <c r="B85" s="193" t="s">
        <v>1539</v>
      </c>
      <c r="C85" s="195">
        <v>457518</v>
      </c>
      <c r="D85" s="195">
        <v>97052</v>
      </c>
      <c r="E85" s="195">
        <v>457518</v>
      </c>
      <c r="F85" s="195">
        <v>226108.83</v>
      </c>
      <c r="G85" s="195">
        <v>454162.55</v>
      </c>
      <c r="H85" s="195">
        <v>231756.76</v>
      </c>
      <c r="I85" s="195">
        <v>170097.66</v>
      </c>
    </row>
    <row r="86" spans="1:9" x14ac:dyDescent="0.2">
      <c r="A86" s="193">
        <v>1313201921</v>
      </c>
      <c r="B86" s="193" t="s">
        <v>1493</v>
      </c>
      <c r="C86" s="195">
        <v>161074</v>
      </c>
      <c r="E86" s="195">
        <v>161074</v>
      </c>
    </row>
    <row r="87" spans="1:9" x14ac:dyDescent="0.2">
      <c r="A87" s="193">
        <v>1313201922</v>
      </c>
      <c r="B87" s="193" t="s">
        <v>1492</v>
      </c>
      <c r="C87" s="195">
        <v>188700</v>
      </c>
      <c r="E87" s="195">
        <v>188700</v>
      </c>
    </row>
    <row r="88" spans="1:9" x14ac:dyDescent="0.2">
      <c r="A88" s="193">
        <v>1313201923</v>
      </c>
      <c r="B88" s="193" t="s">
        <v>1538</v>
      </c>
      <c r="C88" s="195">
        <v>1003884</v>
      </c>
      <c r="E88" s="195">
        <v>1003884</v>
      </c>
    </row>
    <row r="89" spans="1:9" x14ac:dyDescent="0.2">
      <c r="A89" s="193">
        <v>1313202920</v>
      </c>
      <c r="B89" s="193" t="s">
        <v>1156</v>
      </c>
      <c r="C89" s="195">
        <v>250000</v>
      </c>
      <c r="D89" s="195">
        <v>-69335.520000000004</v>
      </c>
      <c r="E89" s="195">
        <v>250000</v>
      </c>
      <c r="F89" s="195">
        <v>200649.18</v>
      </c>
      <c r="G89" s="195">
        <v>423271.02</v>
      </c>
    </row>
    <row r="90" spans="1:9" x14ac:dyDescent="0.2">
      <c r="A90" s="193">
        <v>1313204920</v>
      </c>
      <c r="B90" s="193" t="s">
        <v>367</v>
      </c>
      <c r="C90" s="195">
        <v>830000</v>
      </c>
      <c r="D90" s="195">
        <v>728324.68</v>
      </c>
      <c r="E90" s="195">
        <v>830000</v>
      </c>
      <c r="F90" s="195">
        <v>1156517.3799999999</v>
      </c>
      <c r="G90" s="195">
        <v>1143585.23</v>
      </c>
      <c r="H90" s="195">
        <v>1045199.91</v>
      </c>
      <c r="I90" s="195">
        <v>961723.78</v>
      </c>
    </row>
    <row r="91" spans="1:9" x14ac:dyDescent="0.2">
      <c r="A91" s="193">
        <v>1313205920</v>
      </c>
      <c r="B91" s="193" t="s">
        <v>368</v>
      </c>
      <c r="C91" s="195">
        <v>2418000</v>
      </c>
      <c r="D91" s="195">
        <v>1912472.44</v>
      </c>
      <c r="E91" s="195">
        <v>2418000</v>
      </c>
      <c r="F91" s="195">
        <v>3484083.3</v>
      </c>
      <c r="G91" s="195">
        <v>3410717.74</v>
      </c>
      <c r="H91" s="195">
        <v>3279720.29</v>
      </c>
      <c r="I91" s="195">
        <v>3013591.27</v>
      </c>
    </row>
    <row r="92" spans="1:9" x14ac:dyDescent="0.2">
      <c r="A92" s="193">
        <v>1313213920</v>
      </c>
      <c r="B92" s="193" t="s">
        <v>369</v>
      </c>
      <c r="C92" s="195">
        <v>2050000</v>
      </c>
      <c r="D92" s="195">
        <v>1761940.83</v>
      </c>
      <c r="E92" s="195">
        <v>2050000</v>
      </c>
      <c r="F92" s="195">
        <v>2217734.7200000002</v>
      </c>
      <c r="G92" s="195">
        <v>1597752.54</v>
      </c>
      <c r="H92" s="195">
        <v>1353082.9</v>
      </c>
      <c r="I92" s="195">
        <v>1247207.17</v>
      </c>
    </row>
    <row r="93" spans="1:9" x14ac:dyDescent="0.2">
      <c r="A93" s="193">
        <v>1313213921</v>
      </c>
      <c r="B93" s="193" t="s">
        <v>1392</v>
      </c>
    </row>
    <row r="94" spans="1:9" x14ac:dyDescent="0.2">
      <c r="A94" s="193">
        <v>1313221920</v>
      </c>
      <c r="B94" s="193" t="s">
        <v>370</v>
      </c>
      <c r="C94" s="195">
        <v>15000</v>
      </c>
      <c r="D94" s="195">
        <v>73377.070000000007</v>
      </c>
      <c r="E94" s="195">
        <v>15000</v>
      </c>
      <c r="F94" s="195">
        <v>48682.83</v>
      </c>
      <c r="G94" s="195">
        <v>43692.94</v>
      </c>
      <c r="H94" s="195">
        <v>31304.73</v>
      </c>
      <c r="I94" s="195">
        <v>22731.17</v>
      </c>
    </row>
    <row r="95" spans="1:9" x14ac:dyDescent="0.2">
      <c r="A95" s="193">
        <v>1313222920</v>
      </c>
      <c r="B95" s="193" t="s">
        <v>371</v>
      </c>
      <c r="C95" s="195">
        <v>252244</v>
      </c>
      <c r="D95" s="195">
        <v>245616.7</v>
      </c>
      <c r="E95" s="195">
        <v>252244</v>
      </c>
      <c r="F95" s="195">
        <v>122087.7</v>
      </c>
      <c r="G95" s="195">
        <v>306377.40000000002</v>
      </c>
      <c r="H95" s="195">
        <v>302971.2</v>
      </c>
      <c r="I95" s="195">
        <v>301056.09999999998</v>
      </c>
    </row>
    <row r="96" spans="1:9" x14ac:dyDescent="0.2">
      <c r="A96" s="193">
        <v>1313223920</v>
      </c>
      <c r="B96" s="193" t="s">
        <v>372</v>
      </c>
      <c r="C96" s="195">
        <v>265000</v>
      </c>
      <c r="D96" s="195">
        <v>262236.59999999998</v>
      </c>
      <c r="E96" s="195">
        <v>265000</v>
      </c>
      <c r="F96" s="195">
        <v>263691</v>
      </c>
      <c r="G96" s="195">
        <v>265998.5</v>
      </c>
      <c r="H96" s="195">
        <v>265851.03999999998</v>
      </c>
    </row>
    <row r="97" spans="1:9" x14ac:dyDescent="0.2">
      <c r="A97" s="193">
        <v>1313300920</v>
      </c>
      <c r="B97" s="193" t="s">
        <v>373</v>
      </c>
      <c r="C97" s="195">
        <v>441883</v>
      </c>
      <c r="D97" s="195">
        <v>377762.97</v>
      </c>
      <c r="E97" s="195">
        <v>441883</v>
      </c>
      <c r="F97" s="195">
        <v>557736.05000000005</v>
      </c>
      <c r="G97" s="195">
        <v>228820.8</v>
      </c>
      <c r="H97" s="195">
        <v>157050.4</v>
      </c>
      <c r="I97" s="195">
        <v>144674.4</v>
      </c>
    </row>
    <row r="98" spans="1:9" x14ac:dyDescent="0.2">
      <c r="A98" s="193">
        <v>1313300940</v>
      </c>
      <c r="B98" s="193" t="s">
        <v>1393</v>
      </c>
    </row>
    <row r="99" spans="1:9" x14ac:dyDescent="0.2">
      <c r="A99" s="193">
        <v>1313304920</v>
      </c>
      <c r="B99" s="193" t="s">
        <v>374</v>
      </c>
      <c r="C99" s="195">
        <v>160000</v>
      </c>
      <c r="D99" s="195">
        <v>297573.53000000003</v>
      </c>
      <c r="E99" s="195">
        <v>160000</v>
      </c>
      <c r="F99" s="195">
        <v>163992.64000000001</v>
      </c>
      <c r="G99" s="195">
        <v>145244.21</v>
      </c>
      <c r="H99" s="195">
        <v>192497.42</v>
      </c>
      <c r="I99" s="195">
        <v>146382.63</v>
      </c>
    </row>
    <row r="100" spans="1:9" x14ac:dyDescent="0.2">
      <c r="A100" s="193">
        <v>1313305920</v>
      </c>
      <c r="B100" s="193" t="s">
        <v>375</v>
      </c>
      <c r="C100" s="195">
        <v>415000</v>
      </c>
      <c r="D100" s="195">
        <v>1050809</v>
      </c>
      <c r="E100" s="195">
        <v>415000</v>
      </c>
      <c r="F100" s="195">
        <v>384518.42</v>
      </c>
      <c r="G100" s="195">
        <v>400796</v>
      </c>
      <c r="H100" s="195">
        <v>392677.69</v>
      </c>
      <c r="I100" s="195">
        <v>353579.44</v>
      </c>
    </row>
    <row r="101" spans="1:9" x14ac:dyDescent="0.2">
      <c r="A101" s="193">
        <v>1313313920</v>
      </c>
      <c r="B101" s="193" t="s">
        <v>376</v>
      </c>
      <c r="C101" s="195">
        <v>1795000</v>
      </c>
      <c r="D101" s="195">
        <v>1586618.25</v>
      </c>
      <c r="E101" s="195">
        <v>1795000</v>
      </c>
      <c r="F101" s="195">
        <v>1743345.74</v>
      </c>
      <c r="G101" s="195">
        <v>2005242.05</v>
      </c>
      <c r="H101" s="195">
        <v>2006477.1</v>
      </c>
      <c r="I101" s="195">
        <v>1953838.36</v>
      </c>
    </row>
    <row r="102" spans="1:9" x14ac:dyDescent="0.2">
      <c r="A102" s="193">
        <v>1313317410</v>
      </c>
      <c r="B102" s="193" t="s">
        <v>289</v>
      </c>
      <c r="C102" s="195">
        <v>1125000</v>
      </c>
      <c r="D102" s="195">
        <v>802476.9</v>
      </c>
      <c r="E102" s="195">
        <v>1125000</v>
      </c>
      <c r="F102" s="195">
        <v>1024742</v>
      </c>
      <c r="G102" s="195">
        <v>1056757.42</v>
      </c>
      <c r="H102" s="195">
        <v>1197340</v>
      </c>
      <c r="I102" s="195">
        <v>848711</v>
      </c>
    </row>
    <row r="103" spans="1:9" x14ac:dyDescent="0.2">
      <c r="A103" s="193">
        <v>1313322920</v>
      </c>
      <c r="B103" s="193" t="s">
        <v>377</v>
      </c>
    </row>
    <row r="104" spans="1:9" x14ac:dyDescent="0.2">
      <c r="A104" s="193">
        <v>1313330920</v>
      </c>
      <c r="B104" s="193" t="s">
        <v>378</v>
      </c>
      <c r="C104" s="195">
        <v>150000</v>
      </c>
      <c r="D104" s="195">
        <v>189284.9</v>
      </c>
      <c r="E104" s="195">
        <v>150000</v>
      </c>
      <c r="F104" s="195">
        <v>209017.9</v>
      </c>
      <c r="G104" s="195">
        <v>222082.9</v>
      </c>
      <c r="H104" s="195">
        <v>222336.17</v>
      </c>
      <c r="I104" s="195">
        <v>115463.38</v>
      </c>
    </row>
    <row r="105" spans="1:9" x14ac:dyDescent="0.2">
      <c r="A105" s="193">
        <v>1313700920</v>
      </c>
      <c r="B105" s="193" t="s">
        <v>379</v>
      </c>
      <c r="C105" s="195">
        <v>4500</v>
      </c>
      <c r="E105" s="195">
        <v>4500</v>
      </c>
      <c r="G105" s="195">
        <v>9413</v>
      </c>
      <c r="H105" s="195">
        <v>13227.83</v>
      </c>
      <c r="I105" s="195">
        <v>9909.0400000000009</v>
      </c>
    </row>
    <row r="106" spans="1:9" x14ac:dyDescent="0.2">
      <c r="A106" s="193">
        <v>1313704920</v>
      </c>
      <c r="B106" s="193" t="s">
        <v>380</v>
      </c>
      <c r="C106" s="195">
        <v>27500</v>
      </c>
      <c r="D106" s="195">
        <v>22232.799999999999</v>
      </c>
      <c r="E106" s="195">
        <v>27500</v>
      </c>
      <c r="F106" s="195">
        <v>32026.400000000001</v>
      </c>
      <c r="G106" s="195">
        <v>33909.410000000003</v>
      </c>
      <c r="H106" s="195">
        <v>24839.48</v>
      </c>
      <c r="I106" s="195">
        <v>23640.6</v>
      </c>
    </row>
    <row r="107" spans="1:9" x14ac:dyDescent="0.2">
      <c r="A107" s="193">
        <v>1313705920</v>
      </c>
      <c r="B107" s="193" t="s">
        <v>381</v>
      </c>
      <c r="C107" s="195">
        <v>85000</v>
      </c>
      <c r="D107" s="195">
        <v>77447.350000000006</v>
      </c>
      <c r="E107" s="195">
        <v>85000</v>
      </c>
      <c r="F107" s="195">
        <v>100502.05</v>
      </c>
      <c r="G107" s="195">
        <v>106413.71</v>
      </c>
      <c r="H107" s="195">
        <v>77952.52</v>
      </c>
      <c r="I107" s="195">
        <v>74171.28</v>
      </c>
    </row>
    <row r="108" spans="1:9" x14ac:dyDescent="0.2">
      <c r="A108" s="193">
        <v>1315700700</v>
      </c>
      <c r="B108" s="193" t="s">
        <v>290</v>
      </c>
      <c r="C108" s="195">
        <v>14200000</v>
      </c>
      <c r="D108" s="195">
        <v>14200000</v>
      </c>
      <c r="E108" s="195">
        <v>14200000</v>
      </c>
      <c r="F108" s="195">
        <v>13999992</v>
      </c>
      <c r="G108" s="195">
        <v>14000000</v>
      </c>
      <c r="H108" s="195">
        <v>12000000</v>
      </c>
    </row>
    <row r="109" spans="1:9" x14ac:dyDescent="0.2">
      <c r="A109" s="193">
        <v>1315701920</v>
      </c>
      <c r="B109" s="193" t="s">
        <v>1394</v>
      </c>
    </row>
    <row r="110" spans="1:9" x14ac:dyDescent="0.2">
      <c r="A110" s="193">
        <v>1315777700</v>
      </c>
      <c r="B110" s="193" t="s">
        <v>291</v>
      </c>
      <c r="C110" s="195">
        <v>16000000</v>
      </c>
      <c r="D110" s="195">
        <v>15999997</v>
      </c>
      <c r="E110" s="195">
        <v>16000000</v>
      </c>
      <c r="F110" s="195">
        <v>16099992</v>
      </c>
      <c r="G110" s="195">
        <v>15000000</v>
      </c>
      <c r="H110" s="195">
        <v>16000000</v>
      </c>
    </row>
    <row r="111" spans="1:9" x14ac:dyDescent="0.2">
      <c r="A111" s="193">
        <v>1315788700</v>
      </c>
      <c r="B111" s="193" t="s">
        <v>292</v>
      </c>
      <c r="C111" s="195">
        <v>7000000</v>
      </c>
      <c r="D111" s="195">
        <v>7000000</v>
      </c>
      <c r="E111" s="195">
        <v>7000000</v>
      </c>
      <c r="F111" s="195">
        <v>6999997</v>
      </c>
      <c r="G111" s="195">
        <v>7000000</v>
      </c>
      <c r="H111" s="195">
        <v>7000000</v>
      </c>
    </row>
    <row r="112" spans="1:9" x14ac:dyDescent="0.2">
      <c r="A112" s="193">
        <v>1316800440</v>
      </c>
      <c r="B112" s="193" t="s">
        <v>1395</v>
      </c>
    </row>
    <row r="113" spans="1:9" x14ac:dyDescent="0.2">
      <c r="A113" s="193">
        <v>1316800790</v>
      </c>
      <c r="B113" s="193" t="s">
        <v>1396</v>
      </c>
    </row>
    <row r="114" spans="1:9" x14ac:dyDescent="0.2">
      <c r="A114" s="193">
        <v>1317100920</v>
      </c>
      <c r="B114" s="193" t="s">
        <v>382</v>
      </c>
      <c r="C114" s="195">
        <v>175000</v>
      </c>
      <c r="D114" s="195">
        <v>135294.32999999999</v>
      </c>
      <c r="E114" s="195">
        <v>175000</v>
      </c>
      <c r="F114" s="195">
        <v>175921.05</v>
      </c>
      <c r="G114" s="195">
        <v>175511.09</v>
      </c>
      <c r="H114" s="195">
        <v>170380.67</v>
      </c>
      <c r="I114" s="195">
        <v>164326.92000000001</v>
      </c>
    </row>
    <row r="115" spans="1:9" x14ac:dyDescent="0.2">
      <c r="A115" s="193">
        <v>1317100990</v>
      </c>
      <c r="B115" s="193" t="s">
        <v>493</v>
      </c>
      <c r="C115" s="195">
        <v>1200000</v>
      </c>
      <c r="D115" s="195">
        <v>865427.52</v>
      </c>
      <c r="E115" s="195">
        <v>1114527</v>
      </c>
      <c r="F115" s="195">
        <v>1267124.05</v>
      </c>
      <c r="G115" s="195">
        <v>922320.17</v>
      </c>
      <c r="H115" s="195">
        <v>995131.21</v>
      </c>
      <c r="I115" s="195">
        <v>821056.61</v>
      </c>
    </row>
    <row r="116" spans="1:9" x14ac:dyDescent="0.2">
      <c r="A116" s="193">
        <v>1317200920</v>
      </c>
      <c r="B116" s="193" t="s">
        <v>383</v>
      </c>
      <c r="C116" s="195">
        <v>44000</v>
      </c>
      <c r="E116" s="195">
        <v>44000</v>
      </c>
      <c r="F116" s="195">
        <v>51881.2</v>
      </c>
      <c r="G116" s="195">
        <v>48300</v>
      </c>
      <c r="H116" s="195">
        <v>49741.2</v>
      </c>
      <c r="I116" s="195">
        <v>51888.800000000003</v>
      </c>
    </row>
    <row r="117" spans="1:9" x14ac:dyDescent="0.2">
      <c r="A117" s="193">
        <v>1317300920</v>
      </c>
      <c r="B117" s="193" t="s">
        <v>384</v>
      </c>
      <c r="C117" s="195">
        <v>1660000</v>
      </c>
      <c r="D117" s="195">
        <v>1414115.24</v>
      </c>
      <c r="E117" s="195">
        <v>1660000</v>
      </c>
      <c r="F117" s="195">
        <v>1760615.39</v>
      </c>
      <c r="G117" s="195">
        <v>1683045.31</v>
      </c>
      <c r="H117" s="195">
        <v>1665289.32</v>
      </c>
      <c r="I117" s="195">
        <v>1621653.05</v>
      </c>
    </row>
    <row r="118" spans="1:9" x14ac:dyDescent="0.2">
      <c r="A118" s="193">
        <v>1317301920</v>
      </c>
      <c r="B118" s="193" t="s">
        <v>385</v>
      </c>
      <c r="C118" s="195">
        <v>60000</v>
      </c>
      <c r="D118" s="195">
        <v>43207.92</v>
      </c>
      <c r="E118" s="195">
        <v>60000</v>
      </c>
      <c r="F118" s="195">
        <v>55719.64</v>
      </c>
      <c r="G118" s="195">
        <v>58629.599999999999</v>
      </c>
      <c r="H118" s="195">
        <v>60784.42</v>
      </c>
      <c r="I118" s="195">
        <v>47672.14</v>
      </c>
    </row>
    <row r="119" spans="1:9" x14ac:dyDescent="0.2">
      <c r="A119" s="193">
        <v>1317500410</v>
      </c>
      <c r="B119" s="193" t="s">
        <v>293</v>
      </c>
      <c r="C119" s="195">
        <v>300000</v>
      </c>
      <c r="D119" s="195">
        <v>125998</v>
      </c>
      <c r="E119" s="195">
        <v>300000</v>
      </c>
      <c r="F119" s="195">
        <v>223845</v>
      </c>
      <c r="G119" s="195">
        <v>198109</v>
      </c>
      <c r="H119" s="195">
        <v>172998</v>
      </c>
      <c r="I119" s="195">
        <v>167462</v>
      </c>
    </row>
    <row r="120" spans="1:9" x14ac:dyDescent="0.2">
      <c r="A120" s="193">
        <v>1317600420</v>
      </c>
      <c r="B120" s="193" t="s">
        <v>1185</v>
      </c>
      <c r="I120" s="195">
        <v>300</v>
      </c>
    </row>
    <row r="121" spans="1:9" x14ac:dyDescent="0.2">
      <c r="A121" s="193">
        <v>1317600920</v>
      </c>
      <c r="B121" s="193" t="s">
        <v>1397</v>
      </c>
      <c r="C121" s="195">
        <v>1457443</v>
      </c>
      <c r="D121" s="195">
        <v>297264.03000000003</v>
      </c>
      <c r="E121" s="195">
        <v>1457443</v>
      </c>
      <c r="F121" s="195">
        <v>1610859.4</v>
      </c>
      <c r="G121" s="195">
        <v>1084536.07</v>
      </c>
      <c r="H121" s="195">
        <v>1795599.6</v>
      </c>
      <c r="I121" s="195">
        <v>1654091.38</v>
      </c>
    </row>
    <row r="122" spans="1:9" x14ac:dyDescent="0.2">
      <c r="A122" s="193">
        <v>1317700920</v>
      </c>
      <c r="B122" s="193" t="s">
        <v>387</v>
      </c>
      <c r="D122" s="195">
        <v>176926.57</v>
      </c>
      <c r="F122" s="195">
        <v>258680.41</v>
      </c>
      <c r="G122" s="195">
        <v>263434.44</v>
      </c>
      <c r="H122" s="195">
        <v>246906.94</v>
      </c>
      <c r="I122" s="195">
        <v>236947.39</v>
      </c>
    </row>
    <row r="123" spans="1:9" x14ac:dyDescent="0.2">
      <c r="A123" s="193">
        <v>1317701920</v>
      </c>
      <c r="B123" s="193" t="s">
        <v>388</v>
      </c>
      <c r="C123" s="195">
        <v>454258</v>
      </c>
      <c r="D123" s="195">
        <v>355998.93</v>
      </c>
      <c r="E123" s="195">
        <v>454258</v>
      </c>
      <c r="F123" s="195">
        <v>458422.31</v>
      </c>
      <c r="G123" s="195">
        <v>420004.68</v>
      </c>
      <c r="H123" s="195">
        <v>387581.19</v>
      </c>
      <c r="I123" s="195">
        <v>400595.4</v>
      </c>
    </row>
    <row r="124" spans="1:9" x14ac:dyDescent="0.2">
      <c r="A124" s="193">
        <v>1317702920</v>
      </c>
      <c r="B124" s="193" t="s">
        <v>389</v>
      </c>
      <c r="C124" s="195">
        <v>27562</v>
      </c>
      <c r="D124" s="195">
        <v>33073.699999999997</v>
      </c>
      <c r="E124" s="195">
        <v>27562</v>
      </c>
      <c r="F124" s="195">
        <v>27563.51</v>
      </c>
      <c r="G124" s="195">
        <v>26644.04</v>
      </c>
      <c r="H124" s="195">
        <v>29858</v>
      </c>
      <c r="I124" s="195">
        <v>25266</v>
      </c>
    </row>
    <row r="125" spans="1:9" x14ac:dyDescent="0.2">
      <c r="A125" s="193">
        <v>1317800440</v>
      </c>
      <c r="B125" s="193" t="s">
        <v>1364</v>
      </c>
      <c r="D125" s="195">
        <v>3200</v>
      </c>
      <c r="H125" s="195">
        <v>594</v>
      </c>
    </row>
    <row r="126" spans="1:9" x14ac:dyDescent="0.2">
      <c r="A126" s="193">
        <v>1317800920</v>
      </c>
      <c r="B126" s="193" t="s">
        <v>390</v>
      </c>
      <c r="C126" s="195">
        <v>5590000</v>
      </c>
      <c r="D126" s="195">
        <v>4554136</v>
      </c>
      <c r="E126" s="195">
        <v>5590000</v>
      </c>
      <c r="F126" s="195">
        <v>6413712.4800000004</v>
      </c>
      <c r="G126" s="195">
        <v>5685197.9699999997</v>
      </c>
      <c r="H126" s="195">
        <v>5479647.4100000001</v>
      </c>
      <c r="I126" s="195">
        <v>5470045.6500000004</v>
      </c>
    </row>
    <row r="127" spans="1:9" x14ac:dyDescent="0.2">
      <c r="A127" s="193">
        <v>1317801920</v>
      </c>
      <c r="B127" s="193" t="s">
        <v>391</v>
      </c>
      <c r="C127" s="195">
        <v>1512000</v>
      </c>
      <c r="D127" s="195">
        <v>1148286.27</v>
      </c>
      <c r="E127" s="195">
        <v>1512000</v>
      </c>
      <c r="F127" s="195">
        <v>1391851.44</v>
      </c>
      <c r="G127" s="195">
        <v>1394733.12</v>
      </c>
      <c r="H127" s="195">
        <v>1270256.72</v>
      </c>
      <c r="I127" s="195">
        <v>1122115.56</v>
      </c>
    </row>
    <row r="128" spans="1:9" x14ac:dyDescent="0.2">
      <c r="A128" s="193">
        <v>1317900790</v>
      </c>
      <c r="B128" s="193" t="s">
        <v>1155</v>
      </c>
      <c r="C128" s="195">
        <v>36667</v>
      </c>
      <c r="D128" s="195">
        <v>20000</v>
      </c>
      <c r="E128" s="195">
        <v>36667</v>
      </c>
      <c r="F128" s="195">
        <v>20000</v>
      </c>
      <c r="G128" s="195">
        <v>60000</v>
      </c>
      <c r="H128" s="195">
        <v>36667</v>
      </c>
      <c r="I128" s="195">
        <v>33333</v>
      </c>
    </row>
    <row r="129" spans="1:9" x14ac:dyDescent="0.2">
      <c r="A129" s="193">
        <v>1317900950</v>
      </c>
      <c r="B129" s="193" t="s">
        <v>1398</v>
      </c>
    </row>
    <row r="130" spans="1:9" x14ac:dyDescent="0.2">
      <c r="A130" s="193">
        <v>1317904920</v>
      </c>
      <c r="B130" s="193" t="s">
        <v>392</v>
      </c>
      <c r="C130" s="195">
        <v>98000</v>
      </c>
      <c r="D130" s="195">
        <v>80163.88</v>
      </c>
      <c r="E130" s="195">
        <v>98000</v>
      </c>
      <c r="F130" s="195">
        <v>104021.71</v>
      </c>
      <c r="G130" s="195">
        <v>103760.94</v>
      </c>
      <c r="H130" s="195">
        <v>100848.29</v>
      </c>
      <c r="I130" s="195">
        <v>95980.85</v>
      </c>
    </row>
    <row r="131" spans="1:9" x14ac:dyDescent="0.2">
      <c r="A131" s="193">
        <v>1317905920</v>
      </c>
      <c r="B131" s="193" t="s">
        <v>393</v>
      </c>
      <c r="C131" s="195">
        <v>49000</v>
      </c>
      <c r="D131" s="195">
        <v>39888.44</v>
      </c>
      <c r="E131" s="195">
        <v>49000</v>
      </c>
      <c r="F131" s="195">
        <v>51762.59</v>
      </c>
      <c r="G131" s="195">
        <v>51633.62</v>
      </c>
      <c r="H131" s="195">
        <v>50185</v>
      </c>
      <c r="I131" s="195">
        <v>47751.42</v>
      </c>
    </row>
    <row r="132" spans="1:9" x14ac:dyDescent="0.2">
      <c r="A132" s="193">
        <v>1317910441</v>
      </c>
      <c r="B132" s="193" t="s">
        <v>1399</v>
      </c>
    </row>
    <row r="133" spans="1:9" x14ac:dyDescent="0.2">
      <c r="A133" s="193">
        <v>1317922920</v>
      </c>
      <c r="B133" s="193" t="s">
        <v>394</v>
      </c>
      <c r="C133" s="195">
        <v>26271</v>
      </c>
      <c r="E133" s="195">
        <v>26271</v>
      </c>
      <c r="F133" s="195">
        <v>31758.5</v>
      </c>
      <c r="G133" s="195">
        <v>29190</v>
      </c>
      <c r="H133" s="195">
        <v>26271</v>
      </c>
      <c r="I133" s="195">
        <v>29190</v>
      </c>
    </row>
    <row r="134" spans="1:9" x14ac:dyDescent="0.2">
      <c r="A134" s="193">
        <v>1317950790</v>
      </c>
      <c r="B134" s="193" t="s">
        <v>294</v>
      </c>
      <c r="C134" s="195">
        <v>583900</v>
      </c>
      <c r="D134" s="195">
        <v>174612</v>
      </c>
      <c r="E134" s="195">
        <v>583900</v>
      </c>
      <c r="F134" s="195">
        <v>181839</v>
      </c>
      <c r="G134" s="195">
        <v>380588</v>
      </c>
      <c r="H134" s="195">
        <v>406532</v>
      </c>
    </row>
    <row r="135" spans="1:9" x14ac:dyDescent="0.2">
      <c r="A135" s="193">
        <v>1317950920</v>
      </c>
      <c r="B135" s="193" t="s">
        <v>1186</v>
      </c>
      <c r="F135" s="195">
        <v>387880</v>
      </c>
      <c r="I135" s="195">
        <v>625000</v>
      </c>
    </row>
    <row r="136" spans="1:9" x14ac:dyDescent="0.2">
      <c r="A136" s="193">
        <v>1317951920</v>
      </c>
      <c r="B136" s="193" t="s">
        <v>395</v>
      </c>
      <c r="C136" s="195">
        <v>90000</v>
      </c>
      <c r="D136" s="195">
        <v>96666.64</v>
      </c>
      <c r="E136" s="195">
        <v>90000</v>
      </c>
      <c r="F136" s="195">
        <v>3333.32</v>
      </c>
      <c r="G136" s="195">
        <v>90000</v>
      </c>
    </row>
    <row r="137" spans="1:9" x14ac:dyDescent="0.2">
      <c r="A137" s="193">
        <v>1317952920</v>
      </c>
      <c r="B137" s="193" t="s">
        <v>1149</v>
      </c>
      <c r="F137" s="195">
        <v>278453</v>
      </c>
      <c r="H137" s="195">
        <v>790956</v>
      </c>
      <c r="I137" s="195">
        <v>30822</v>
      </c>
    </row>
    <row r="138" spans="1:9" x14ac:dyDescent="0.2">
      <c r="A138" s="193">
        <v>1317960920</v>
      </c>
      <c r="B138" s="193" t="s">
        <v>397</v>
      </c>
      <c r="C138" s="195">
        <v>276000</v>
      </c>
      <c r="D138" s="195">
        <v>704</v>
      </c>
      <c r="E138" s="195">
        <v>276000</v>
      </c>
      <c r="F138" s="195">
        <v>293112</v>
      </c>
      <c r="G138" s="195">
        <v>297498.8</v>
      </c>
      <c r="H138" s="195">
        <v>279311</v>
      </c>
      <c r="I138" s="195">
        <v>248271</v>
      </c>
    </row>
    <row r="139" spans="1:9" x14ac:dyDescent="0.2">
      <c r="A139" s="193">
        <v>1319999410</v>
      </c>
      <c r="B139" s="193" t="s">
        <v>1187</v>
      </c>
      <c r="I139" s="195">
        <v>24300</v>
      </c>
    </row>
    <row r="140" spans="1:9" x14ac:dyDescent="0.2">
      <c r="A140" s="193">
        <v>1319999920</v>
      </c>
      <c r="B140" s="193" t="s">
        <v>398</v>
      </c>
      <c r="I140" s="195">
        <v>17454</v>
      </c>
    </row>
    <row r="141" spans="1:9" x14ac:dyDescent="0.2">
      <c r="A141" s="193">
        <v>1322000310</v>
      </c>
      <c r="B141" s="193" t="s">
        <v>1400</v>
      </c>
    </row>
    <row r="142" spans="1:9" x14ac:dyDescent="0.2">
      <c r="A142" s="193">
        <v>1322000410</v>
      </c>
      <c r="B142" s="193" t="s">
        <v>334</v>
      </c>
      <c r="C142" s="195">
        <v>330000</v>
      </c>
      <c r="E142" s="195">
        <v>330000</v>
      </c>
      <c r="F142" s="195">
        <v>342189</v>
      </c>
      <c r="G142" s="195">
        <v>339556</v>
      </c>
      <c r="H142" s="195">
        <v>248143</v>
      </c>
    </row>
    <row r="143" spans="1:9" x14ac:dyDescent="0.2">
      <c r="A143" s="193">
        <v>1322000411</v>
      </c>
      <c r="B143" s="193" t="s">
        <v>335</v>
      </c>
      <c r="C143" s="195">
        <v>120000</v>
      </c>
      <c r="E143" s="195">
        <v>120000</v>
      </c>
      <c r="F143" s="195">
        <v>162300</v>
      </c>
      <c r="G143" s="195">
        <v>87209.600000000006</v>
      </c>
      <c r="H143" s="195">
        <v>148508.54</v>
      </c>
    </row>
    <row r="144" spans="1:9" x14ac:dyDescent="0.2">
      <c r="A144" s="193">
        <v>1322000740</v>
      </c>
      <c r="B144" s="193" t="s">
        <v>336</v>
      </c>
      <c r="C144" s="195">
        <v>100000</v>
      </c>
      <c r="E144" s="195">
        <v>100000</v>
      </c>
      <c r="F144" s="195">
        <v>100000</v>
      </c>
      <c r="G144" s="195">
        <v>100000</v>
      </c>
      <c r="H144" s="195">
        <v>100000</v>
      </c>
    </row>
    <row r="145" spans="1:9" x14ac:dyDescent="0.2">
      <c r="A145" s="193">
        <v>1322000790</v>
      </c>
      <c r="B145" s="193" t="s">
        <v>337</v>
      </c>
      <c r="C145" s="195">
        <v>170000</v>
      </c>
      <c r="E145" s="195">
        <v>170000</v>
      </c>
      <c r="F145" s="195">
        <v>170000</v>
      </c>
      <c r="G145" s="195">
        <v>240000</v>
      </c>
      <c r="H145" s="195">
        <v>170000</v>
      </c>
    </row>
    <row r="146" spans="1:9" x14ac:dyDescent="0.2">
      <c r="A146" s="193">
        <v>1322000920</v>
      </c>
      <c r="B146" s="193" t="s">
        <v>494</v>
      </c>
      <c r="C146" s="195">
        <v>1575000</v>
      </c>
      <c r="D146" s="195">
        <v>787500</v>
      </c>
      <c r="E146" s="195">
        <v>2100000</v>
      </c>
      <c r="F146" s="195">
        <v>1575000</v>
      </c>
      <c r="G146" s="195">
        <v>1694758</v>
      </c>
      <c r="H146" s="195">
        <v>1652131</v>
      </c>
    </row>
    <row r="147" spans="1:9" x14ac:dyDescent="0.2">
      <c r="A147" s="193">
        <v>1322000990</v>
      </c>
      <c r="B147" s="193" t="s">
        <v>495</v>
      </c>
    </row>
    <row r="148" spans="1:9" x14ac:dyDescent="0.2">
      <c r="A148" s="193">
        <v>1323000420</v>
      </c>
      <c r="B148" s="193" t="s">
        <v>338</v>
      </c>
      <c r="C148" s="195">
        <v>20000</v>
      </c>
      <c r="D148" s="195">
        <v>12603</v>
      </c>
      <c r="E148" s="195">
        <v>20000</v>
      </c>
      <c r="F148" s="195">
        <v>17994</v>
      </c>
      <c r="G148" s="195">
        <v>23328</v>
      </c>
      <c r="H148" s="195">
        <v>25337</v>
      </c>
      <c r="I148" s="195">
        <v>18691</v>
      </c>
    </row>
    <row r="149" spans="1:9" x14ac:dyDescent="0.2">
      <c r="A149" s="193">
        <v>1323000990</v>
      </c>
      <c r="B149" s="193" t="s">
        <v>1401</v>
      </c>
    </row>
    <row r="150" spans="1:9" x14ac:dyDescent="0.2">
      <c r="A150" s="193">
        <v>1325200220</v>
      </c>
      <c r="B150" s="193" t="s">
        <v>339</v>
      </c>
      <c r="C150" s="195">
        <v>1350000</v>
      </c>
      <c r="D150" s="195">
        <v>782759.07</v>
      </c>
      <c r="E150" s="195">
        <v>1350000</v>
      </c>
      <c r="F150" s="195">
        <v>1305778.1599999999</v>
      </c>
      <c r="G150" s="195">
        <v>1326309.99</v>
      </c>
      <c r="H150" s="195">
        <v>1369809.51</v>
      </c>
      <c r="I150" s="195">
        <v>1323182.1599999999</v>
      </c>
    </row>
    <row r="151" spans="1:9" x14ac:dyDescent="0.2">
      <c r="A151" s="193">
        <v>1325200410</v>
      </c>
      <c r="B151" s="193" t="s">
        <v>340</v>
      </c>
      <c r="C151" s="195">
        <v>20000</v>
      </c>
      <c r="D151" s="195">
        <v>4350</v>
      </c>
      <c r="E151" s="195">
        <v>50000</v>
      </c>
      <c r="F151" s="195">
        <v>17260</v>
      </c>
      <c r="G151" s="195">
        <v>52740</v>
      </c>
      <c r="H151" s="195">
        <v>48560</v>
      </c>
      <c r="I151" s="195">
        <v>77587</v>
      </c>
    </row>
    <row r="152" spans="1:9" x14ac:dyDescent="0.2">
      <c r="A152" s="193">
        <v>1325200700</v>
      </c>
      <c r="B152" s="193" t="s">
        <v>341</v>
      </c>
      <c r="C152" s="195">
        <v>160000</v>
      </c>
      <c r="D152" s="195">
        <v>40000</v>
      </c>
      <c r="E152" s="195">
        <v>160000</v>
      </c>
      <c r="F152" s="195">
        <v>80000</v>
      </c>
      <c r="G152" s="195">
        <v>254302</v>
      </c>
      <c r="H152" s="195">
        <v>249406</v>
      </c>
      <c r="I152" s="195">
        <v>80000</v>
      </c>
    </row>
    <row r="153" spans="1:9" x14ac:dyDescent="0.2">
      <c r="A153" s="193">
        <v>1325200920</v>
      </c>
      <c r="B153" s="193" t="s">
        <v>496</v>
      </c>
      <c r="C153" s="195">
        <v>630000</v>
      </c>
      <c r="D153" s="195">
        <v>18822</v>
      </c>
      <c r="E153" s="195">
        <v>615725</v>
      </c>
      <c r="F153" s="195">
        <v>629680.1</v>
      </c>
      <c r="G153" s="195">
        <v>622033.91</v>
      </c>
      <c r="H153" s="195">
        <v>678501.8</v>
      </c>
      <c r="I153" s="195">
        <v>546120</v>
      </c>
    </row>
    <row r="154" spans="1:9" x14ac:dyDescent="0.2">
      <c r="A154" s="193">
        <v>1326200420</v>
      </c>
      <c r="B154" s="193" t="s">
        <v>1189</v>
      </c>
      <c r="I154" s="195">
        <v>187</v>
      </c>
    </row>
    <row r="155" spans="1:9" x14ac:dyDescent="0.2">
      <c r="A155" s="193">
        <v>1329300440</v>
      </c>
      <c r="B155" s="193" t="s">
        <v>1402</v>
      </c>
    </row>
    <row r="156" spans="1:9" x14ac:dyDescent="0.2">
      <c r="A156" s="193">
        <v>1329300920</v>
      </c>
      <c r="B156" s="193" t="s">
        <v>497</v>
      </c>
      <c r="C156" s="195">
        <v>100000</v>
      </c>
      <c r="D156" s="195">
        <v>91903</v>
      </c>
      <c r="E156" s="195">
        <v>100000</v>
      </c>
      <c r="F156" s="195">
        <v>91750</v>
      </c>
      <c r="G156" s="195">
        <v>81468</v>
      </c>
      <c r="H156" s="195">
        <v>162485</v>
      </c>
      <c r="I156" s="195">
        <v>127369</v>
      </c>
    </row>
    <row r="157" spans="1:9" x14ac:dyDescent="0.2">
      <c r="A157" s="193">
        <v>1329300921</v>
      </c>
      <c r="B157" s="193" t="s">
        <v>1537</v>
      </c>
      <c r="D157" s="195">
        <v>62500</v>
      </c>
      <c r="E157" s="195">
        <v>125000</v>
      </c>
    </row>
    <row r="158" spans="1:9" x14ac:dyDescent="0.2">
      <c r="A158" s="193">
        <v>1340000440</v>
      </c>
      <c r="B158" s="193" t="s">
        <v>1160</v>
      </c>
    </row>
    <row r="159" spans="1:9" x14ac:dyDescent="0.2">
      <c r="A159" s="193">
        <v>1340000920</v>
      </c>
      <c r="B159" s="193" t="s">
        <v>1161</v>
      </c>
      <c r="C159" s="195">
        <v>60000</v>
      </c>
      <c r="E159" s="195">
        <v>60000</v>
      </c>
    </row>
    <row r="160" spans="1:9" x14ac:dyDescent="0.2">
      <c r="A160" s="193">
        <v>1341000420</v>
      </c>
      <c r="B160" s="193" t="s">
        <v>297</v>
      </c>
      <c r="H160" s="195">
        <v>71758.87</v>
      </c>
      <c r="I160" s="195">
        <v>25279.13</v>
      </c>
    </row>
    <row r="161" spans="1:9" x14ac:dyDescent="0.2">
      <c r="A161" s="193">
        <v>1341000690</v>
      </c>
      <c r="B161" s="193" t="s">
        <v>1536</v>
      </c>
      <c r="F161" s="195">
        <v>9000</v>
      </c>
    </row>
    <row r="162" spans="1:9" x14ac:dyDescent="0.2">
      <c r="A162" s="193">
        <v>1341000930</v>
      </c>
      <c r="B162" s="193" t="s">
        <v>401</v>
      </c>
      <c r="C162" s="195">
        <v>6307000</v>
      </c>
      <c r="D162" s="195">
        <v>4123801</v>
      </c>
      <c r="E162" s="195">
        <v>6307000</v>
      </c>
      <c r="F162" s="195">
        <v>5557285</v>
      </c>
      <c r="G162" s="195">
        <v>4571320</v>
      </c>
      <c r="H162" s="195">
        <v>6031795</v>
      </c>
      <c r="I162" s="195">
        <v>4732989</v>
      </c>
    </row>
    <row r="163" spans="1:9" x14ac:dyDescent="0.2">
      <c r="A163" s="193">
        <v>1341000931</v>
      </c>
      <c r="B163" s="193" t="s">
        <v>1403</v>
      </c>
    </row>
    <row r="164" spans="1:9" x14ac:dyDescent="0.2">
      <c r="A164" s="193">
        <v>1341000933</v>
      </c>
      <c r="B164" s="193" t="s">
        <v>402</v>
      </c>
      <c r="C164" s="195">
        <v>15000</v>
      </c>
      <c r="E164" s="195">
        <v>15000</v>
      </c>
      <c r="H164" s="195">
        <v>15206</v>
      </c>
    </row>
    <row r="165" spans="1:9" x14ac:dyDescent="0.2">
      <c r="A165" s="193">
        <v>1341000934</v>
      </c>
      <c r="B165" s="193" t="s">
        <v>403</v>
      </c>
      <c r="C165" s="195">
        <v>100000</v>
      </c>
      <c r="D165" s="195">
        <v>68708</v>
      </c>
      <c r="E165" s="195">
        <v>100000</v>
      </c>
      <c r="F165" s="195">
        <v>102485</v>
      </c>
      <c r="G165" s="195">
        <v>107675</v>
      </c>
      <c r="H165" s="195">
        <v>100112</v>
      </c>
      <c r="I165" s="195">
        <v>85475</v>
      </c>
    </row>
    <row r="166" spans="1:9" x14ac:dyDescent="0.2">
      <c r="A166" s="193">
        <v>1341000935</v>
      </c>
      <c r="B166" s="193" t="s">
        <v>1404</v>
      </c>
    </row>
    <row r="167" spans="1:9" x14ac:dyDescent="0.2">
      <c r="A167" s="193">
        <v>1341000936</v>
      </c>
      <c r="B167" s="193" t="s">
        <v>404</v>
      </c>
      <c r="C167" s="195">
        <v>37500</v>
      </c>
      <c r="E167" s="195">
        <v>37500</v>
      </c>
      <c r="F167" s="195">
        <v>6068</v>
      </c>
      <c r="G167" s="195">
        <v>20000</v>
      </c>
      <c r="I167" s="195">
        <v>1125</v>
      </c>
    </row>
    <row r="168" spans="1:9" x14ac:dyDescent="0.2">
      <c r="A168" s="193">
        <v>1341000937</v>
      </c>
      <c r="B168" s="193" t="s">
        <v>405</v>
      </c>
      <c r="C168" s="195">
        <v>20000</v>
      </c>
      <c r="D168" s="195">
        <v>5066</v>
      </c>
      <c r="E168" s="195">
        <v>20000</v>
      </c>
      <c r="F168" s="195">
        <v>25897</v>
      </c>
      <c r="G168" s="195">
        <v>14315</v>
      </c>
      <c r="H168" s="195">
        <v>13246</v>
      </c>
      <c r="I168" s="195">
        <v>20266</v>
      </c>
    </row>
    <row r="169" spans="1:9" x14ac:dyDescent="0.2">
      <c r="A169" s="193">
        <v>1341000938</v>
      </c>
      <c r="B169" s="193" t="s">
        <v>1487</v>
      </c>
      <c r="D169" s="195">
        <v>57966</v>
      </c>
    </row>
    <row r="170" spans="1:9" x14ac:dyDescent="0.2">
      <c r="A170" s="193">
        <v>1342200930</v>
      </c>
      <c r="B170" s="193" t="s">
        <v>406</v>
      </c>
      <c r="C170" s="195">
        <v>135050</v>
      </c>
      <c r="D170" s="195">
        <v>76305</v>
      </c>
      <c r="E170" s="195">
        <v>135050</v>
      </c>
      <c r="F170" s="195">
        <v>156132</v>
      </c>
      <c r="G170" s="195">
        <v>112100</v>
      </c>
      <c r="H170" s="195">
        <v>113058</v>
      </c>
      <c r="I170" s="195">
        <v>102787</v>
      </c>
    </row>
    <row r="171" spans="1:9" x14ac:dyDescent="0.2">
      <c r="A171" s="193">
        <v>1342200931</v>
      </c>
      <c r="B171" s="193" t="s">
        <v>1252</v>
      </c>
      <c r="F171" s="195">
        <v>5111</v>
      </c>
      <c r="G171" s="195">
        <v>9599</v>
      </c>
      <c r="H171" s="195">
        <v>69364</v>
      </c>
    </row>
    <row r="172" spans="1:9" x14ac:dyDescent="0.2">
      <c r="A172" s="193">
        <v>1342200932</v>
      </c>
      <c r="B172" s="193" t="s">
        <v>1112</v>
      </c>
    </row>
    <row r="173" spans="1:9" x14ac:dyDescent="0.2">
      <c r="A173" s="193">
        <v>1342200933</v>
      </c>
      <c r="B173" s="193" t="s">
        <v>407</v>
      </c>
      <c r="C173" s="195">
        <v>120000</v>
      </c>
      <c r="D173" s="195">
        <v>55828</v>
      </c>
      <c r="E173" s="195">
        <v>120000</v>
      </c>
      <c r="F173" s="195">
        <v>123936</v>
      </c>
      <c r="G173" s="195">
        <v>114755</v>
      </c>
      <c r="H173" s="195">
        <v>110136</v>
      </c>
      <c r="I173" s="195">
        <v>119387</v>
      </c>
    </row>
    <row r="174" spans="1:9" x14ac:dyDescent="0.2">
      <c r="A174" s="193">
        <v>1342200934</v>
      </c>
      <c r="B174" s="193" t="s">
        <v>408</v>
      </c>
      <c r="C174" s="195">
        <v>22500</v>
      </c>
      <c r="E174" s="195">
        <v>22500</v>
      </c>
      <c r="F174" s="195">
        <v>13616</v>
      </c>
      <c r="G174" s="195">
        <v>49883</v>
      </c>
      <c r="I174" s="195">
        <v>7889</v>
      </c>
    </row>
    <row r="175" spans="1:9" x14ac:dyDescent="0.2">
      <c r="A175" s="193">
        <v>1342200935</v>
      </c>
      <c r="B175" s="193" t="s">
        <v>1405</v>
      </c>
    </row>
    <row r="176" spans="1:9" x14ac:dyDescent="0.2">
      <c r="A176" s="193">
        <v>1342200936</v>
      </c>
      <c r="B176" s="193" t="s">
        <v>409</v>
      </c>
      <c r="C176" s="195">
        <v>75000</v>
      </c>
      <c r="D176" s="195">
        <v>21581</v>
      </c>
      <c r="E176" s="195">
        <v>75000</v>
      </c>
      <c r="F176" s="195">
        <v>51593</v>
      </c>
      <c r="G176" s="195">
        <v>130085</v>
      </c>
      <c r="H176" s="195">
        <v>210732</v>
      </c>
      <c r="I176" s="195">
        <v>50301</v>
      </c>
    </row>
    <row r="177" spans="1:9" x14ac:dyDescent="0.2">
      <c r="A177" s="193">
        <v>1342200937</v>
      </c>
      <c r="B177" s="193" t="s">
        <v>1485</v>
      </c>
    </row>
    <row r="178" spans="1:9" x14ac:dyDescent="0.2">
      <c r="A178" s="193">
        <v>1342200938</v>
      </c>
      <c r="B178" s="193" t="s">
        <v>1406</v>
      </c>
      <c r="F178" s="195">
        <v>11799</v>
      </c>
    </row>
    <row r="179" spans="1:9" x14ac:dyDescent="0.2">
      <c r="A179" s="193">
        <v>1342200939</v>
      </c>
      <c r="B179" s="193" t="s">
        <v>93</v>
      </c>
      <c r="C179" s="195">
        <v>5000</v>
      </c>
      <c r="E179" s="195">
        <v>5000</v>
      </c>
      <c r="F179" s="195">
        <v>5000</v>
      </c>
      <c r="G179" s="195">
        <v>5000</v>
      </c>
    </row>
    <row r="180" spans="1:9" x14ac:dyDescent="0.2">
      <c r="A180" s="193">
        <v>1342400420</v>
      </c>
      <c r="B180" s="193" t="s">
        <v>1407</v>
      </c>
    </row>
    <row r="181" spans="1:9" x14ac:dyDescent="0.2">
      <c r="A181" s="193">
        <v>1342400931</v>
      </c>
      <c r="B181" s="193" t="s">
        <v>410</v>
      </c>
      <c r="C181" s="195">
        <v>9000</v>
      </c>
      <c r="E181" s="195">
        <v>9000</v>
      </c>
      <c r="H181" s="195">
        <v>519</v>
      </c>
      <c r="I181" s="195">
        <v>7167</v>
      </c>
    </row>
    <row r="182" spans="1:9" x14ac:dyDescent="0.2">
      <c r="A182" s="193">
        <v>1342400935</v>
      </c>
      <c r="B182" s="193" t="s">
        <v>411</v>
      </c>
      <c r="C182" s="195">
        <v>67500</v>
      </c>
      <c r="D182" s="195">
        <v>30882</v>
      </c>
      <c r="E182" s="195">
        <v>67500</v>
      </c>
      <c r="F182" s="195">
        <v>44503</v>
      </c>
      <c r="G182" s="195">
        <v>50654</v>
      </c>
      <c r="H182" s="195">
        <v>44619</v>
      </c>
      <c r="I182" s="195">
        <v>38343</v>
      </c>
    </row>
    <row r="183" spans="1:9" x14ac:dyDescent="0.2">
      <c r="A183" s="193">
        <v>1342400936</v>
      </c>
      <c r="B183" s="193" t="s">
        <v>1408</v>
      </c>
    </row>
    <row r="184" spans="1:9" x14ac:dyDescent="0.2">
      <c r="A184" s="193">
        <v>1342401930</v>
      </c>
      <c r="B184" s="193" t="s">
        <v>412</v>
      </c>
      <c r="C184" s="195">
        <v>145800</v>
      </c>
      <c r="D184" s="195">
        <v>80000</v>
      </c>
      <c r="E184" s="195">
        <v>145800</v>
      </c>
      <c r="F184" s="195">
        <v>162000</v>
      </c>
      <c r="G184" s="195">
        <v>120000</v>
      </c>
      <c r="H184" s="195">
        <v>120000</v>
      </c>
      <c r="I184" s="195">
        <v>180000</v>
      </c>
    </row>
    <row r="185" spans="1:9" x14ac:dyDescent="0.2">
      <c r="A185" s="193">
        <v>1343500420</v>
      </c>
      <c r="B185" s="193" t="s">
        <v>1191</v>
      </c>
      <c r="C185" s="195">
        <v>3000</v>
      </c>
      <c r="D185" s="195">
        <v>2309</v>
      </c>
      <c r="E185" s="195">
        <v>3000</v>
      </c>
      <c r="F185" s="195">
        <v>2929</v>
      </c>
      <c r="G185" s="195">
        <v>3560</v>
      </c>
      <c r="H185" s="195">
        <v>1583</v>
      </c>
      <c r="I185" s="195">
        <v>3284.5</v>
      </c>
    </row>
    <row r="186" spans="1:9" x14ac:dyDescent="0.2">
      <c r="A186" s="193">
        <v>1343500930</v>
      </c>
      <c r="B186" s="193" t="s">
        <v>57</v>
      </c>
      <c r="F186" s="195">
        <v>80</v>
      </c>
    </row>
    <row r="187" spans="1:9" x14ac:dyDescent="0.2">
      <c r="A187" s="193">
        <v>1343500931</v>
      </c>
      <c r="B187" s="193" t="s">
        <v>413</v>
      </c>
      <c r="C187" s="195">
        <v>181818</v>
      </c>
      <c r="D187" s="195">
        <v>90045</v>
      </c>
      <c r="E187" s="195">
        <v>181818</v>
      </c>
      <c r="F187" s="195">
        <v>159747</v>
      </c>
      <c r="G187" s="195">
        <v>233037</v>
      </c>
      <c r="H187" s="195">
        <v>213555</v>
      </c>
      <c r="I187" s="195">
        <v>147576</v>
      </c>
    </row>
    <row r="188" spans="1:9" x14ac:dyDescent="0.2">
      <c r="A188" s="193">
        <v>1343500932</v>
      </c>
      <c r="B188" s="193" t="s">
        <v>414</v>
      </c>
      <c r="C188" s="195">
        <v>510000</v>
      </c>
      <c r="D188" s="195">
        <v>348110</v>
      </c>
      <c r="E188" s="195">
        <v>510000</v>
      </c>
      <c r="F188" s="195">
        <v>600878</v>
      </c>
      <c r="G188" s="195">
        <v>522973</v>
      </c>
      <c r="H188" s="195">
        <v>504677</v>
      </c>
      <c r="I188" s="195">
        <v>430385</v>
      </c>
    </row>
    <row r="189" spans="1:9" x14ac:dyDescent="0.2">
      <c r="A189" s="193">
        <v>1343500933</v>
      </c>
      <c r="B189" s="193" t="s">
        <v>1409</v>
      </c>
    </row>
    <row r="190" spans="1:9" x14ac:dyDescent="0.2">
      <c r="A190" s="193">
        <v>1343500934</v>
      </c>
      <c r="B190" s="193" t="s">
        <v>415</v>
      </c>
      <c r="C190" s="195">
        <v>270000</v>
      </c>
      <c r="D190" s="195">
        <v>189411</v>
      </c>
      <c r="E190" s="195">
        <v>270000</v>
      </c>
      <c r="F190" s="195">
        <v>320471</v>
      </c>
      <c r="G190" s="195">
        <v>226749</v>
      </c>
      <c r="H190" s="195">
        <v>283198</v>
      </c>
      <c r="I190" s="195">
        <v>68476</v>
      </c>
    </row>
    <row r="191" spans="1:9" x14ac:dyDescent="0.2">
      <c r="A191" s="193">
        <v>1343500935</v>
      </c>
      <c r="B191" s="193" t="s">
        <v>416</v>
      </c>
      <c r="C191" s="195">
        <v>141264</v>
      </c>
      <c r="D191" s="195">
        <v>52893</v>
      </c>
      <c r="E191" s="195">
        <v>141264</v>
      </c>
      <c r="F191" s="195">
        <v>119425</v>
      </c>
      <c r="G191" s="195">
        <v>115186</v>
      </c>
      <c r="H191" s="195">
        <v>122688</v>
      </c>
      <c r="I191" s="195">
        <v>97664</v>
      </c>
    </row>
    <row r="192" spans="1:9" x14ac:dyDescent="0.2">
      <c r="A192" s="193">
        <v>1343500937</v>
      </c>
      <c r="B192" s="193" t="s">
        <v>417</v>
      </c>
      <c r="C192" s="195">
        <v>44550</v>
      </c>
      <c r="D192" s="195">
        <v>21218</v>
      </c>
      <c r="E192" s="195">
        <v>44550</v>
      </c>
      <c r="F192" s="195">
        <v>41972</v>
      </c>
      <c r="G192" s="195">
        <v>54357</v>
      </c>
      <c r="H192" s="195">
        <v>17909</v>
      </c>
      <c r="I192" s="195">
        <v>3704</v>
      </c>
    </row>
    <row r="193" spans="1:9" x14ac:dyDescent="0.2">
      <c r="A193" s="193">
        <v>1343500938</v>
      </c>
      <c r="B193" s="193" t="s">
        <v>1410</v>
      </c>
    </row>
    <row r="194" spans="1:9" x14ac:dyDescent="0.2">
      <c r="A194" s="193">
        <v>1343500939</v>
      </c>
      <c r="B194" s="193" t="s">
        <v>418</v>
      </c>
      <c r="C194" s="195">
        <v>46463</v>
      </c>
      <c r="D194" s="195">
        <v>56000</v>
      </c>
      <c r="E194" s="195">
        <v>46463</v>
      </c>
      <c r="F194" s="195">
        <v>47213</v>
      </c>
      <c r="G194" s="195">
        <v>19104</v>
      </c>
      <c r="H194" s="195">
        <v>28314</v>
      </c>
      <c r="I194" s="195">
        <v>26355</v>
      </c>
    </row>
    <row r="195" spans="1:9" x14ac:dyDescent="0.2">
      <c r="A195" s="193">
        <v>1343500940</v>
      </c>
      <c r="B195" s="193" t="s">
        <v>58</v>
      </c>
      <c r="C195" s="195">
        <v>7500</v>
      </c>
      <c r="E195" s="195">
        <v>7500</v>
      </c>
      <c r="F195" s="195">
        <v>4290</v>
      </c>
    </row>
    <row r="196" spans="1:9" x14ac:dyDescent="0.2">
      <c r="A196" s="193">
        <v>1343523410</v>
      </c>
      <c r="B196" s="193" t="s">
        <v>298</v>
      </c>
      <c r="C196" s="195">
        <v>95000</v>
      </c>
      <c r="D196" s="195">
        <v>76435.5</v>
      </c>
      <c r="E196" s="195">
        <v>95000</v>
      </c>
      <c r="F196" s="195">
        <v>93913.7</v>
      </c>
      <c r="G196" s="195">
        <v>101508</v>
      </c>
      <c r="H196" s="195">
        <v>79059</v>
      </c>
      <c r="I196" s="195">
        <v>66630</v>
      </c>
    </row>
    <row r="197" spans="1:9" x14ac:dyDescent="0.2">
      <c r="A197" s="193">
        <v>1343800410</v>
      </c>
      <c r="B197" s="193" t="s">
        <v>1411</v>
      </c>
    </row>
    <row r="198" spans="1:9" x14ac:dyDescent="0.2">
      <c r="A198" s="193">
        <v>1343800420</v>
      </c>
      <c r="B198" s="193" t="s">
        <v>299</v>
      </c>
      <c r="C198" s="195">
        <v>60000</v>
      </c>
      <c r="D198" s="195">
        <v>34910.6</v>
      </c>
      <c r="E198" s="195">
        <v>60000</v>
      </c>
      <c r="F198" s="195">
        <v>47206</v>
      </c>
      <c r="G198" s="195">
        <v>61429</v>
      </c>
      <c r="H198" s="195">
        <v>48080.1</v>
      </c>
      <c r="I198" s="195">
        <v>70086.5</v>
      </c>
    </row>
    <row r="199" spans="1:9" x14ac:dyDescent="0.2">
      <c r="A199" s="193">
        <v>1343800421</v>
      </c>
      <c r="B199" s="193" t="s">
        <v>1192</v>
      </c>
      <c r="G199" s="195">
        <v>194</v>
      </c>
      <c r="H199" s="195">
        <v>97</v>
      </c>
      <c r="I199" s="195">
        <v>958</v>
      </c>
    </row>
    <row r="200" spans="1:9" x14ac:dyDescent="0.2">
      <c r="A200" s="193">
        <v>1343800930</v>
      </c>
      <c r="B200" s="193" t="s">
        <v>419</v>
      </c>
      <c r="C200" s="195">
        <v>3772914</v>
      </c>
      <c r="D200" s="195">
        <v>2408739</v>
      </c>
      <c r="E200" s="195">
        <v>3772914</v>
      </c>
      <c r="F200" s="195">
        <v>3702964</v>
      </c>
      <c r="G200" s="195">
        <v>3202065</v>
      </c>
      <c r="H200" s="195">
        <v>3114302</v>
      </c>
      <c r="I200" s="195">
        <v>2488090</v>
      </c>
    </row>
    <row r="201" spans="1:9" x14ac:dyDescent="0.2">
      <c r="A201" s="193">
        <v>1343800935</v>
      </c>
      <c r="B201" s="193" t="s">
        <v>420</v>
      </c>
      <c r="C201" s="195">
        <v>256000</v>
      </c>
      <c r="D201" s="195">
        <v>137774</v>
      </c>
      <c r="E201" s="195">
        <v>256000</v>
      </c>
      <c r="F201" s="195">
        <v>216780</v>
      </c>
      <c r="G201" s="195">
        <v>256148</v>
      </c>
      <c r="H201" s="195">
        <v>269569</v>
      </c>
      <c r="I201" s="195">
        <v>321823</v>
      </c>
    </row>
    <row r="202" spans="1:9" x14ac:dyDescent="0.2">
      <c r="A202" s="193">
        <v>1343900930</v>
      </c>
      <c r="B202" s="193" t="s">
        <v>421</v>
      </c>
      <c r="C202" s="195">
        <v>2142000</v>
      </c>
      <c r="D202" s="195">
        <v>1431714</v>
      </c>
      <c r="E202" s="195">
        <v>2142000</v>
      </c>
      <c r="F202" s="195">
        <v>2032492</v>
      </c>
      <c r="G202" s="195">
        <v>1747541</v>
      </c>
      <c r="H202" s="195">
        <v>1759646</v>
      </c>
      <c r="I202" s="195">
        <v>1783619</v>
      </c>
    </row>
    <row r="203" spans="1:9" x14ac:dyDescent="0.2">
      <c r="A203" s="193">
        <v>1344300420</v>
      </c>
      <c r="B203" s="193" t="s">
        <v>300</v>
      </c>
      <c r="C203" s="195">
        <v>690000</v>
      </c>
      <c r="D203" s="195">
        <v>366485.4</v>
      </c>
      <c r="E203" s="195">
        <v>690000</v>
      </c>
      <c r="F203" s="195">
        <v>621081.69999999995</v>
      </c>
      <c r="G203" s="195">
        <v>578611.80000000005</v>
      </c>
      <c r="H203" s="195">
        <v>594288.19999999995</v>
      </c>
      <c r="I203" s="195">
        <v>567850.1</v>
      </c>
    </row>
    <row r="204" spans="1:9" x14ac:dyDescent="0.2">
      <c r="A204" s="193">
        <v>1344300421</v>
      </c>
      <c r="B204" s="193" t="s">
        <v>301</v>
      </c>
      <c r="C204" s="195">
        <v>12000</v>
      </c>
      <c r="D204" s="195">
        <v>25442</v>
      </c>
      <c r="E204" s="195">
        <v>12000</v>
      </c>
      <c r="F204" s="195">
        <v>11284.5</v>
      </c>
      <c r="G204" s="195">
        <v>10593</v>
      </c>
      <c r="H204" s="195">
        <v>9340</v>
      </c>
      <c r="I204" s="195">
        <v>13230.5</v>
      </c>
    </row>
    <row r="205" spans="1:9" x14ac:dyDescent="0.2">
      <c r="A205" s="193">
        <v>1344300930</v>
      </c>
      <c r="B205" s="193" t="s">
        <v>300</v>
      </c>
      <c r="C205" s="195">
        <v>3696000</v>
      </c>
      <c r="D205" s="195">
        <v>2330193</v>
      </c>
      <c r="E205" s="195">
        <v>3696000</v>
      </c>
      <c r="F205" s="195">
        <v>3606581</v>
      </c>
      <c r="G205" s="195">
        <v>3443877</v>
      </c>
      <c r="H205" s="195">
        <v>3434591</v>
      </c>
      <c r="I205" s="195">
        <v>3242236</v>
      </c>
    </row>
    <row r="206" spans="1:9" x14ac:dyDescent="0.2">
      <c r="A206" s="193">
        <v>1344300932</v>
      </c>
      <c r="B206" s="193" t="s">
        <v>59</v>
      </c>
      <c r="F206" s="195">
        <v>4859</v>
      </c>
      <c r="G206" s="195">
        <v>4703</v>
      </c>
    </row>
    <row r="207" spans="1:9" x14ac:dyDescent="0.2">
      <c r="A207" s="193">
        <v>1344324410</v>
      </c>
      <c r="B207" s="193" t="s">
        <v>1193</v>
      </c>
      <c r="F207" s="195">
        <v>55</v>
      </c>
      <c r="I207" s="195">
        <v>726</v>
      </c>
    </row>
    <row r="208" spans="1:9" x14ac:dyDescent="0.2">
      <c r="A208" s="193">
        <v>1344400931</v>
      </c>
      <c r="B208" s="193" t="s">
        <v>422</v>
      </c>
      <c r="C208" s="195">
        <v>127000</v>
      </c>
      <c r="D208" s="195">
        <v>57335</v>
      </c>
      <c r="E208" s="195">
        <v>127000</v>
      </c>
      <c r="F208" s="195">
        <v>147739</v>
      </c>
      <c r="G208" s="195">
        <v>104468</v>
      </c>
      <c r="H208" s="195">
        <v>110000</v>
      </c>
      <c r="I208" s="195">
        <v>100000</v>
      </c>
    </row>
    <row r="209" spans="1:9" x14ac:dyDescent="0.2">
      <c r="A209" s="193">
        <v>1344400932</v>
      </c>
      <c r="B209" s="193" t="s">
        <v>423</v>
      </c>
      <c r="C209" s="195">
        <v>114700</v>
      </c>
      <c r="D209" s="195">
        <v>50262</v>
      </c>
      <c r="E209" s="195">
        <v>114700</v>
      </c>
      <c r="F209" s="195">
        <v>108603</v>
      </c>
      <c r="G209" s="195">
        <v>91014</v>
      </c>
      <c r="H209" s="195">
        <v>91077</v>
      </c>
      <c r="I209" s="195">
        <v>73102</v>
      </c>
    </row>
    <row r="210" spans="1:9" x14ac:dyDescent="0.2">
      <c r="A210" s="193">
        <v>1344400933</v>
      </c>
      <c r="B210" s="193" t="s">
        <v>1194</v>
      </c>
      <c r="D210" s="195">
        <v>1668</v>
      </c>
      <c r="F210" s="195">
        <v>16075</v>
      </c>
      <c r="H210" s="195">
        <v>-9313</v>
      </c>
      <c r="I210" s="195">
        <v>39294</v>
      </c>
    </row>
    <row r="211" spans="1:9" x14ac:dyDescent="0.2">
      <c r="A211" s="193">
        <v>1344400934</v>
      </c>
      <c r="B211" s="193" t="s">
        <v>424</v>
      </c>
      <c r="C211" s="195">
        <v>338333</v>
      </c>
      <c r="D211" s="195">
        <v>200220</v>
      </c>
      <c r="E211" s="195">
        <v>338333</v>
      </c>
      <c r="F211" s="195">
        <v>305495</v>
      </c>
      <c r="G211" s="195">
        <v>214030</v>
      </c>
      <c r="H211" s="195">
        <v>278640</v>
      </c>
      <c r="I211" s="195">
        <v>155571</v>
      </c>
    </row>
    <row r="212" spans="1:9" x14ac:dyDescent="0.2">
      <c r="A212" s="193">
        <v>1344400935</v>
      </c>
      <c r="B212" s="193" t="s">
        <v>425</v>
      </c>
      <c r="C212" s="195">
        <v>22500</v>
      </c>
      <c r="D212" s="195">
        <v>5040</v>
      </c>
      <c r="E212" s="195">
        <v>22500</v>
      </c>
      <c r="F212" s="195">
        <v>47127</v>
      </c>
      <c r="G212" s="195">
        <v>49428</v>
      </c>
      <c r="H212" s="195">
        <v>27619</v>
      </c>
      <c r="I212" s="195">
        <v>27972</v>
      </c>
    </row>
    <row r="213" spans="1:9" x14ac:dyDescent="0.2">
      <c r="A213" s="193">
        <v>1344400936</v>
      </c>
      <c r="B213" s="193" t="s">
        <v>60</v>
      </c>
      <c r="F213" s="195">
        <v>8750</v>
      </c>
    </row>
    <row r="214" spans="1:9" x14ac:dyDescent="0.2">
      <c r="A214" s="193">
        <v>1344400939</v>
      </c>
      <c r="B214" s="193" t="s">
        <v>426</v>
      </c>
      <c r="C214" s="195">
        <v>216270</v>
      </c>
      <c r="D214" s="195">
        <v>87043</v>
      </c>
      <c r="E214" s="195">
        <v>216270</v>
      </c>
      <c r="F214" s="195">
        <v>186154</v>
      </c>
      <c r="G214" s="195">
        <v>216007</v>
      </c>
      <c r="H214" s="195">
        <v>132267</v>
      </c>
      <c r="I214" s="195">
        <v>111527</v>
      </c>
    </row>
    <row r="215" spans="1:9" x14ac:dyDescent="0.2">
      <c r="A215" s="193">
        <v>1344400940</v>
      </c>
      <c r="B215" s="193" t="s">
        <v>1482</v>
      </c>
      <c r="C215" s="195">
        <v>59175</v>
      </c>
      <c r="E215" s="195">
        <v>59175</v>
      </c>
      <c r="F215" s="195">
        <v>59176</v>
      </c>
    </row>
    <row r="216" spans="1:9" x14ac:dyDescent="0.2">
      <c r="A216" s="193">
        <v>1344500420</v>
      </c>
      <c r="B216" s="193" t="s">
        <v>302</v>
      </c>
      <c r="C216" s="195">
        <v>90000</v>
      </c>
      <c r="E216" s="195">
        <v>90000</v>
      </c>
      <c r="F216" s="195">
        <v>197714.51</v>
      </c>
      <c r="G216" s="195">
        <v>98571</v>
      </c>
      <c r="H216" s="195">
        <v>112589</v>
      </c>
      <c r="I216" s="195">
        <v>79632</v>
      </c>
    </row>
    <row r="217" spans="1:9" x14ac:dyDescent="0.2">
      <c r="A217" s="193">
        <v>1344500930</v>
      </c>
      <c r="B217" s="193" t="s">
        <v>427</v>
      </c>
      <c r="C217" s="195">
        <v>425088</v>
      </c>
      <c r="D217" s="195">
        <v>207037</v>
      </c>
      <c r="E217" s="195">
        <v>425088</v>
      </c>
      <c r="F217" s="195">
        <v>433383</v>
      </c>
      <c r="G217" s="195">
        <v>428850</v>
      </c>
      <c r="H217" s="195">
        <v>442315</v>
      </c>
      <c r="I217" s="195">
        <v>395504</v>
      </c>
    </row>
    <row r="218" spans="1:9" x14ac:dyDescent="0.2">
      <c r="A218" s="193">
        <v>1344500933</v>
      </c>
      <c r="B218" s="193" t="s">
        <v>1481</v>
      </c>
      <c r="C218" s="195">
        <v>170000</v>
      </c>
      <c r="E218" s="195">
        <v>170000</v>
      </c>
      <c r="F218" s="195">
        <v>30547</v>
      </c>
      <c r="G218" s="195">
        <v>57738</v>
      </c>
      <c r="H218" s="195">
        <v>32236</v>
      </c>
      <c r="I218" s="195">
        <v>57000</v>
      </c>
    </row>
    <row r="219" spans="1:9" x14ac:dyDescent="0.2">
      <c r="A219" s="193">
        <v>1344500934</v>
      </c>
      <c r="B219" s="193" t="s">
        <v>428</v>
      </c>
      <c r="D219" s="195">
        <v>122536</v>
      </c>
    </row>
    <row r="220" spans="1:9" x14ac:dyDescent="0.2">
      <c r="A220" s="193">
        <v>1345100420</v>
      </c>
      <c r="B220" s="193" t="s">
        <v>1196</v>
      </c>
      <c r="D220" s="195">
        <v>1969.5</v>
      </c>
      <c r="F220" s="195">
        <v>529</v>
      </c>
      <c r="H220" s="195">
        <v>540</v>
      </c>
      <c r="I220" s="195">
        <v>240</v>
      </c>
    </row>
    <row r="221" spans="1:9" x14ac:dyDescent="0.2">
      <c r="A221" s="193">
        <v>1345100930</v>
      </c>
      <c r="B221" s="193" t="s">
        <v>429</v>
      </c>
      <c r="G221" s="195">
        <v>7678392</v>
      </c>
      <c r="H221" s="195">
        <v>6943470</v>
      </c>
      <c r="I221" s="195">
        <v>6935440</v>
      </c>
    </row>
    <row r="222" spans="1:9" x14ac:dyDescent="0.2">
      <c r="A222" s="193">
        <v>1345100931</v>
      </c>
      <c r="B222" s="193" t="s">
        <v>430</v>
      </c>
      <c r="G222" s="195">
        <v>2451075</v>
      </c>
      <c r="H222" s="195">
        <v>2624451</v>
      </c>
      <c r="I222" s="195">
        <v>2518314</v>
      </c>
    </row>
    <row r="223" spans="1:9" x14ac:dyDescent="0.2">
      <c r="A223" s="193">
        <v>1345100932</v>
      </c>
      <c r="B223" s="193" t="s">
        <v>431</v>
      </c>
      <c r="C223" s="195">
        <v>740640</v>
      </c>
      <c r="D223" s="195">
        <v>562873</v>
      </c>
      <c r="E223" s="195">
        <v>740640</v>
      </c>
      <c r="F223" s="195">
        <v>732106</v>
      </c>
      <c r="G223" s="195">
        <v>729446</v>
      </c>
      <c r="H223" s="195">
        <v>687362</v>
      </c>
      <c r="I223" s="195">
        <v>480374</v>
      </c>
    </row>
    <row r="224" spans="1:9" x14ac:dyDescent="0.2">
      <c r="A224" s="193">
        <v>1345100933</v>
      </c>
      <c r="B224" s="193" t="s">
        <v>432</v>
      </c>
      <c r="C224" s="195">
        <v>42000</v>
      </c>
      <c r="D224" s="195">
        <v>10266</v>
      </c>
      <c r="E224" s="195">
        <v>42000</v>
      </c>
      <c r="F224" s="195">
        <v>33580</v>
      </c>
      <c r="G224" s="195">
        <v>35922</v>
      </c>
      <c r="H224" s="195">
        <v>51073</v>
      </c>
      <c r="I224" s="195">
        <v>35108</v>
      </c>
    </row>
    <row r="225" spans="1:9" x14ac:dyDescent="0.2">
      <c r="A225" s="193">
        <v>1345100934</v>
      </c>
      <c r="B225" s="193" t="s">
        <v>1196</v>
      </c>
      <c r="C225" s="195">
        <v>2800</v>
      </c>
      <c r="D225" s="195">
        <v>4458</v>
      </c>
      <c r="E225" s="195">
        <v>2800</v>
      </c>
      <c r="F225" s="195">
        <v>3162</v>
      </c>
      <c r="G225" s="195">
        <v>208</v>
      </c>
      <c r="H225" s="195">
        <v>870</v>
      </c>
      <c r="I225" s="195">
        <v>1350</v>
      </c>
    </row>
    <row r="226" spans="1:9" x14ac:dyDescent="0.2">
      <c r="A226" s="193">
        <v>1345100935</v>
      </c>
      <c r="B226" s="193" t="s">
        <v>433</v>
      </c>
      <c r="C226" s="195">
        <v>19845</v>
      </c>
      <c r="D226" s="195">
        <v>11841</v>
      </c>
      <c r="E226" s="195">
        <v>19845</v>
      </c>
      <c r="F226" s="195">
        <v>19726</v>
      </c>
      <c r="G226" s="195">
        <v>18173</v>
      </c>
      <c r="H226" s="195">
        <v>20515</v>
      </c>
      <c r="I226" s="195">
        <v>25778</v>
      </c>
    </row>
    <row r="227" spans="1:9" x14ac:dyDescent="0.2">
      <c r="A227" s="193">
        <v>1345100936</v>
      </c>
      <c r="B227" s="193" t="s">
        <v>434</v>
      </c>
      <c r="C227" s="195">
        <v>121500</v>
      </c>
      <c r="D227" s="195">
        <v>45501</v>
      </c>
      <c r="E227" s="195">
        <v>121500</v>
      </c>
      <c r="G227" s="195">
        <v>82459</v>
      </c>
      <c r="H227" s="195">
        <v>88737</v>
      </c>
      <c r="I227" s="195">
        <v>35447</v>
      </c>
    </row>
    <row r="228" spans="1:9" x14ac:dyDescent="0.2">
      <c r="A228" s="193">
        <v>1345100937</v>
      </c>
      <c r="B228" s="193" t="s">
        <v>94</v>
      </c>
      <c r="C228" s="195">
        <v>13761</v>
      </c>
      <c r="E228" s="195">
        <v>13761</v>
      </c>
      <c r="F228" s="195">
        <v>11469</v>
      </c>
    </row>
    <row r="229" spans="1:9" x14ac:dyDescent="0.2">
      <c r="A229" s="193">
        <v>1345100938</v>
      </c>
      <c r="B229" s="193" t="s">
        <v>1412</v>
      </c>
      <c r="C229" s="195">
        <v>32206</v>
      </c>
      <c r="D229" s="195">
        <v>10672</v>
      </c>
      <c r="E229" s="195">
        <v>32206</v>
      </c>
      <c r="F229" s="195">
        <v>31937</v>
      </c>
      <c r="G229" s="195">
        <v>32651</v>
      </c>
    </row>
    <row r="230" spans="1:9" x14ac:dyDescent="0.2">
      <c r="A230" s="193">
        <v>1345100939</v>
      </c>
      <c r="B230" s="193" t="s">
        <v>1413</v>
      </c>
      <c r="D230" s="195">
        <v>2668</v>
      </c>
      <c r="F230" s="195">
        <v>4365</v>
      </c>
      <c r="G230" s="195">
        <v>10171</v>
      </c>
    </row>
    <row r="231" spans="1:9" x14ac:dyDescent="0.2">
      <c r="A231" s="193">
        <v>1345100940</v>
      </c>
      <c r="B231" s="193" t="s">
        <v>61</v>
      </c>
      <c r="C231" s="195">
        <v>8391798</v>
      </c>
      <c r="D231" s="195">
        <v>5948859</v>
      </c>
      <c r="E231" s="195">
        <v>8391798</v>
      </c>
      <c r="F231" s="195">
        <v>8204828</v>
      </c>
    </row>
    <row r="232" spans="1:9" x14ac:dyDescent="0.2">
      <c r="A232" s="193">
        <v>1345100941</v>
      </c>
      <c r="B232" s="193" t="s">
        <v>62</v>
      </c>
      <c r="C232" s="195">
        <v>2475900</v>
      </c>
      <c r="D232" s="195">
        <v>1648127</v>
      </c>
      <c r="E232" s="195">
        <v>2475900</v>
      </c>
      <c r="F232" s="195">
        <v>2520135</v>
      </c>
    </row>
    <row r="233" spans="1:9" x14ac:dyDescent="0.2">
      <c r="A233" s="193">
        <v>1345100942</v>
      </c>
      <c r="B233" s="193" t="s">
        <v>1480</v>
      </c>
    </row>
    <row r="234" spans="1:9" x14ac:dyDescent="0.2">
      <c r="A234" s="193">
        <v>1345200420</v>
      </c>
      <c r="B234" s="193" t="s">
        <v>95</v>
      </c>
    </row>
    <row r="235" spans="1:9" x14ac:dyDescent="0.2">
      <c r="A235" s="193">
        <v>1345200930</v>
      </c>
      <c r="B235" s="193" t="s">
        <v>435</v>
      </c>
      <c r="F235" s="195">
        <v>57625</v>
      </c>
      <c r="G235" s="195">
        <v>33425</v>
      </c>
      <c r="H235" s="195">
        <v>9419</v>
      </c>
      <c r="I235" s="195">
        <v>23833</v>
      </c>
    </row>
    <row r="236" spans="1:9" x14ac:dyDescent="0.2">
      <c r="A236" s="193">
        <v>1345200931</v>
      </c>
      <c r="B236" s="193" t="s">
        <v>436</v>
      </c>
      <c r="G236" s="195">
        <v>569960</v>
      </c>
      <c r="H236" s="195">
        <v>478711</v>
      </c>
      <c r="I236" s="195">
        <v>391606</v>
      </c>
    </row>
    <row r="237" spans="1:9" x14ac:dyDescent="0.2">
      <c r="A237" s="193">
        <v>1345200932</v>
      </c>
      <c r="B237" s="193" t="s">
        <v>437</v>
      </c>
      <c r="C237" s="195">
        <v>545280</v>
      </c>
      <c r="D237" s="195">
        <v>314254</v>
      </c>
      <c r="E237" s="195">
        <v>545280</v>
      </c>
      <c r="F237" s="195">
        <v>480345</v>
      </c>
      <c r="G237" s="195">
        <v>446589</v>
      </c>
      <c r="H237" s="195">
        <v>417263</v>
      </c>
      <c r="I237" s="195">
        <v>440445</v>
      </c>
    </row>
    <row r="238" spans="1:9" x14ac:dyDescent="0.2">
      <c r="A238" s="193">
        <v>1345200935</v>
      </c>
      <c r="B238" s="193" t="s">
        <v>438</v>
      </c>
    </row>
    <row r="239" spans="1:9" x14ac:dyDescent="0.2">
      <c r="A239" s="193">
        <v>1345200936</v>
      </c>
      <c r="B239" s="193" t="s">
        <v>63</v>
      </c>
      <c r="C239" s="195">
        <v>38160</v>
      </c>
      <c r="D239" s="195">
        <v>23653</v>
      </c>
      <c r="E239" s="195">
        <v>38160</v>
      </c>
      <c r="F239" s="195">
        <v>46753</v>
      </c>
    </row>
    <row r="240" spans="1:9" x14ac:dyDescent="0.2">
      <c r="A240" s="193">
        <v>1345200937</v>
      </c>
      <c r="B240" s="193" t="s">
        <v>64</v>
      </c>
      <c r="C240" s="195">
        <v>933760</v>
      </c>
      <c r="D240" s="195">
        <v>406989</v>
      </c>
      <c r="E240" s="195">
        <v>933760</v>
      </c>
      <c r="F240" s="195">
        <v>659247</v>
      </c>
    </row>
    <row r="241" spans="1:9" x14ac:dyDescent="0.2">
      <c r="A241" s="193">
        <v>1345300420</v>
      </c>
      <c r="B241" s="193" t="s">
        <v>1197</v>
      </c>
      <c r="I241" s="195">
        <v>315</v>
      </c>
    </row>
    <row r="242" spans="1:9" x14ac:dyDescent="0.2">
      <c r="A242" s="193">
        <v>1345300930</v>
      </c>
      <c r="B242" s="193" t="s">
        <v>298</v>
      </c>
      <c r="D242" s="195">
        <v>2386</v>
      </c>
      <c r="G242" s="195">
        <v>21648</v>
      </c>
      <c r="H242" s="195">
        <v>29919</v>
      </c>
      <c r="I242" s="195">
        <v>909</v>
      </c>
    </row>
    <row r="243" spans="1:9" x14ac:dyDescent="0.2">
      <c r="A243" s="193">
        <v>1345300931</v>
      </c>
      <c r="B243" s="193" t="s">
        <v>439</v>
      </c>
      <c r="C243" s="195">
        <v>29376</v>
      </c>
      <c r="D243" s="195">
        <v>5934</v>
      </c>
      <c r="E243" s="195">
        <v>29376</v>
      </c>
      <c r="F243" s="195">
        <v>33806</v>
      </c>
      <c r="G243" s="195">
        <v>20793</v>
      </c>
      <c r="H243" s="195">
        <v>25357</v>
      </c>
      <c r="I243" s="195">
        <v>27122</v>
      </c>
    </row>
    <row r="244" spans="1:9" x14ac:dyDescent="0.2">
      <c r="A244" s="193">
        <v>1345300933</v>
      </c>
      <c r="B244" s="193" t="s">
        <v>440</v>
      </c>
      <c r="F244" s="195">
        <v>1577</v>
      </c>
      <c r="G244" s="195">
        <v>19805</v>
      </c>
      <c r="H244" s="195">
        <v>19030</v>
      </c>
      <c r="I244" s="195">
        <v>18489</v>
      </c>
    </row>
    <row r="245" spans="1:9" x14ac:dyDescent="0.2">
      <c r="A245" s="193">
        <v>1345300934</v>
      </c>
      <c r="B245" s="193" t="s">
        <v>1144</v>
      </c>
    </row>
    <row r="246" spans="1:9" x14ac:dyDescent="0.2">
      <c r="A246" s="193">
        <v>1345300935</v>
      </c>
      <c r="B246" s="193" t="s">
        <v>441</v>
      </c>
      <c r="G246" s="195">
        <v>247688</v>
      </c>
      <c r="H246" s="195">
        <v>208371</v>
      </c>
      <c r="I246" s="195">
        <v>192020</v>
      </c>
    </row>
    <row r="247" spans="1:9" x14ac:dyDescent="0.2">
      <c r="A247" s="193">
        <v>1345300936</v>
      </c>
      <c r="B247" s="193" t="s">
        <v>87</v>
      </c>
      <c r="C247" s="195">
        <v>11250</v>
      </c>
      <c r="D247" s="195">
        <v>5569</v>
      </c>
      <c r="E247" s="195">
        <v>11250</v>
      </c>
      <c r="F247" s="195">
        <v>-8610</v>
      </c>
    </row>
    <row r="248" spans="1:9" x14ac:dyDescent="0.2">
      <c r="A248" s="193">
        <v>1345300937</v>
      </c>
      <c r="B248" s="193" t="s">
        <v>65</v>
      </c>
      <c r="C248" s="195">
        <v>360000</v>
      </c>
      <c r="D248" s="195">
        <v>102512</v>
      </c>
      <c r="E248" s="195">
        <v>360000</v>
      </c>
      <c r="F248" s="195">
        <v>282122</v>
      </c>
    </row>
    <row r="249" spans="1:9" x14ac:dyDescent="0.2">
      <c r="A249" s="193">
        <v>1345300938</v>
      </c>
      <c r="B249" s="193" t="s">
        <v>66</v>
      </c>
      <c r="C249" s="195">
        <v>19440</v>
      </c>
      <c r="D249" s="195">
        <v>10672</v>
      </c>
      <c r="E249" s="195">
        <v>19440</v>
      </c>
      <c r="F249" s="195">
        <v>17519</v>
      </c>
    </row>
    <row r="250" spans="1:9" x14ac:dyDescent="0.2">
      <c r="A250" s="193">
        <v>1345523410</v>
      </c>
      <c r="B250" s="193" t="s">
        <v>298</v>
      </c>
      <c r="D250" s="195">
        <v>50144</v>
      </c>
      <c r="F250" s="195">
        <v>47218.03</v>
      </c>
      <c r="G250" s="195">
        <v>43812</v>
      </c>
      <c r="H250" s="195">
        <v>26695</v>
      </c>
      <c r="I250" s="195">
        <v>29012</v>
      </c>
    </row>
    <row r="251" spans="1:9" x14ac:dyDescent="0.2">
      <c r="A251" s="193">
        <v>1346100930</v>
      </c>
      <c r="B251" s="193" t="s">
        <v>442</v>
      </c>
      <c r="C251" s="195">
        <v>115452</v>
      </c>
      <c r="D251" s="195">
        <v>111191</v>
      </c>
      <c r="E251" s="195">
        <v>115452</v>
      </c>
      <c r="F251" s="195">
        <v>127036</v>
      </c>
      <c r="G251" s="195">
        <v>86856</v>
      </c>
      <c r="H251" s="195">
        <v>83582</v>
      </c>
      <c r="I251" s="195">
        <v>81291</v>
      </c>
    </row>
    <row r="252" spans="1:9" x14ac:dyDescent="0.2">
      <c r="A252" s="193">
        <v>1346300930</v>
      </c>
      <c r="B252" s="193" t="s">
        <v>1414</v>
      </c>
    </row>
    <row r="253" spans="1:9" x14ac:dyDescent="0.2">
      <c r="A253" s="193">
        <v>1346300931</v>
      </c>
      <c r="B253" s="193" t="s">
        <v>443</v>
      </c>
      <c r="C253" s="195">
        <v>18750</v>
      </c>
      <c r="D253" s="195">
        <v>20805</v>
      </c>
      <c r="E253" s="195">
        <v>18750</v>
      </c>
      <c r="F253" s="195">
        <v>19710</v>
      </c>
      <c r="G253" s="195">
        <v>38151</v>
      </c>
      <c r="H253" s="195">
        <v>31397</v>
      </c>
      <c r="I253" s="195">
        <v>12481</v>
      </c>
    </row>
    <row r="254" spans="1:9" x14ac:dyDescent="0.2">
      <c r="A254" s="193">
        <v>1346300933</v>
      </c>
      <c r="B254" s="193" t="s">
        <v>444</v>
      </c>
      <c r="C254" s="195">
        <v>9225</v>
      </c>
      <c r="D254" s="195">
        <v>16320</v>
      </c>
      <c r="E254" s="195">
        <v>9225</v>
      </c>
      <c r="F254" s="195">
        <v>9691</v>
      </c>
      <c r="G254" s="195">
        <v>3788</v>
      </c>
      <c r="H254" s="195">
        <v>7950</v>
      </c>
      <c r="I254" s="195">
        <v>6074</v>
      </c>
    </row>
    <row r="255" spans="1:9" x14ac:dyDescent="0.2">
      <c r="A255" s="193">
        <v>1346400930</v>
      </c>
      <c r="B255" s="193" t="s">
        <v>1415</v>
      </c>
    </row>
    <row r="256" spans="1:9" x14ac:dyDescent="0.2">
      <c r="A256" s="193">
        <v>1346400931</v>
      </c>
      <c r="B256" s="193" t="s">
        <v>445</v>
      </c>
      <c r="C256" s="195">
        <v>37701</v>
      </c>
      <c r="D256" s="195">
        <v>-10674</v>
      </c>
      <c r="E256" s="195">
        <v>37701</v>
      </c>
      <c r="F256" s="195">
        <v>38275</v>
      </c>
      <c r="G256" s="195">
        <v>104145</v>
      </c>
      <c r="H256" s="195">
        <v>80429</v>
      </c>
      <c r="I256" s="195">
        <v>41046</v>
      </c>
    </row>
    <row r="257" spans="1:9" x14ac:dyDescent="0.2">
      <c r="A257" s="193">
        <v>1346500930</v>
      </c>
      <c r="B257" s="193" t="s">
        <v>446</v>
      </c>
      <c r="C257" s="195">
        <v>2452500</v>
      </c>
      <c r="D257" s="195">
        <v>1478296</v>
      </c>
      <c r="E257" s="195">
        <v>2452500</v>
      </c>
      <c r="F257" s="195">
        <v>1888791</v>
      </c>
      <c r="G257" s="195">
        <v>1800800</v>
      </c>
      <c r="H257" s="195">
        <v>1656860</v>
      </c>
      <c r="I257" s="195">
        <v>1658644</v>
      </c>
    </row>
    <row r="258" spans="1:9" x14ac:dyDescent="0.2">
      <c r="A258" s="193">
        <v>1346500931</v>
      </c>
      <c r="B258" s="193" t="s">
        <v>1416</v>
      </c>
    </row>
    <row r="259" spans="1:9" x14ac:dyDescent="0.2">
      <c r="A259" s="193">
        <v>1346600930</v>
      </c>
      <c r="B259" s="193" t="s">
        <v>447</v>
      </c>
      <c r="C259" s="195">
        <v>18046</v>
      </c>
      <c r="D259" s="195">
        <v>4684</v>
      </c>
      <c r="E259" s="195">
        <v>18046</v>
      </c>
      <c r="F259" s="195">
        <v>6481</v>
      </c>
      <c r="G259" s="195">
        <v>15044</v>
      </c>
      <c r="H259" s="195">
        <v>50640</v>
      </c>
      <c r="I259" s="195">
        <v>31828</v>
      </c>
    </row>
    <row r="260" spans="1:9" x14ac:dyDescent="0.2">
      <c r="A260" s="193">
        <v>1346600931</v>
      </c>
      <c r="B260" s="193" t="s">
        <v>448</v>
      </c>
      <c r="C260" s="195">
        <v>73440</v>
      </c>
      <c r="D260" s="195">
        <v>34017</v>
      </c>
      <c r="E260" s="195">
        <v>73440</v>
      </c>
      <c r="F260" s="195">
        <v>43616</v>
      </c>
      <c r="G260" s="195">
        <v>30512</v>
      </c>
      <c r="H260" s="195">
        <v>71974</v>
      </c>
      <c r="I260" s="195">
        <v>47706</v>
      </c>
    </row>
    <row r="261" spans="1:9" x14ac:dyDescent="0.2">
      <c r="A261" s="193">
        <v>1346600933</v>
      </c>
      <c r="B261" s="193" t="s">
        <v>1479</v>
      </c>
      <c r="D261" s="195">
        <v>2499</v>
      </c>
    </row>
    <row r="262" spans="1:9" x14ac:dyDescent="0.2">
      <c r="A262" s="193">
        <v>1346700420</v>
      </c>
      <c r="B262" s="193" t="s">
        <v>303</v>
      </c>
      <c r="C262" s="195">
        <v>75000</v>
      </c>
      <c r="D262" s="195">
        <v>68397.95</v>
      </c>
      <c r="E262" s="195">
        <v>75000</v>
      </c>
      <c r="F262" s="195">
        <v>79626.3</v>
      </c>
      <c r="G262" s="195">
        <v>52371</v>
      </c>
      <c r="H262" s="195">
        <v>46977</v>
      </c>
      <c r="I262" s="195">
        <v>58363</v>
      </c>
    </row>
    <row r="263" spans="1:9" x14ac:dyDescent="0.2">
      <c r="A263" s="193">
        <v>1346700930</v>
      </c>
      <c r="B263" s="193" t="s">
        <v>449</v>
      </c>
      <c r="C263" s="195">
        <v>18000</v>
      </c>
      <c r="D263" s="195">
        <v>797</v>
      </c>
      <c r="E263" s="195">
        <v>18000</v>
      </c>
      <c r="F263" s="195">
        <v>16482</v>
      </c>
      <c r="G263" s="195">
        <v>19537</v>
      </c>
      <c r="H263" s="195">
        <v>10571</v>
      </c>
    </row>
    <row r="264" spans="1:9" x14ac:dyDescent="0.2">
      <c r="A264" s="193">
        <v>1346700931</v>
      </c>
      <c r="B264" s="193" t="s">
        <v>1417</v>
      </c>
      <c r="C264" s="195">
        <v>8397</v>
      </c>
      <c r="E264" s="195">
        <v>8397</v>
      </c>
      <c r="F264" s="195">
        <v>-1246</v>
      </c>
      <c r="G264" s="195">
        <v>14353</v>
      </c>
      <c r="H264" s="195">
        <v>2799</v>
      </c>
    </row>
    <row r="265" spans="1:9" x14ac:dyDescent="0.2">
      <c r="A265" s="193">
        <v>1346700932</v>
      </c>
      <c r="B265" s="193" t="s">
        <v>1418</v>
      </c>
    </row>
    <row r="266" spans="1:9" x14ac:dyDescent="0.2">
      <c r="A266" s="193">
        <v>1346700933</v>
      </c>
      <c r="B266" s="193" t="s">
        <v>303</v>
      </c>
      <c r="C266" s="195">
        <v>119267</v>
      </c>
      <c r="D266" s="195">
        <v>52772</v>
      </c>
      <c r="E266" s="195">
        <v>119267</v>
      </c>
      <c r="F266" s="195">
        <v>100563</v>
      </c>
      <c r="G266" s="195">
        <v>161464</v>
      </c>
      <c r="H266" s="195">
        <v>131887</v>
      </c>
      <c r="I266" s="195">
        <v>301619</v>
      </c>
    </row>
    <row r="267" spans="1:9" x14ac:dyDescent="0.2">
      <c r="A267" s="193">
        <v>1346700934</v>
      </c>
      <c r="B267" s="193" t="s">
        <v>450</v>
      </c>
      <c r="C267" s="195">
        <v>256500</v>
      </c>
      <c r="D267" s="195">
        <v>105436</v>
      </c>
      <c r="E267" s="195">
        <v>256500</v>
      </c>
      <c r="F267" s="195">
        <v>111536</v>
      </c>
      <c r="G267" s="195">
        <v>167674</v>
      </c>
      <c r="H267" s="195">
        <v>159962</v>
      </c>
      <c r="I267" s="195">
        <v>285599</v>
      </c>
    </row>
    <row r="268" spans="1:9" x14ac:dyDescent="0.2">
      <c r="A268" s="193">
        <v>1346700935</v>
      </c>
      <c r="B268" s="193" t="s">
        <v>451</v>
      </c>
      <c r="C268" s="195">
        <v>50000</v>
      </c>
      <c r="D268" s="195">
        <v>60030</v>
      </c>
      <c r="E268" s="195">
        <v>50000</v>
      </c>
      <c r="F268" s="195">
        <v>-14779</v>
      </c>
      <c r="G268" s="195">
        <v>66716</v>
      </c>
      <c r="H268" s="195">
        <v>70747</v>
      </c>
      <c r="I268" s="195">
        <v>115603</v>
      </c>
    </row>
    <row r="269" spans="1:9" x14ac:dyDescent="0.2">
      <c r="A269" s="193">
        <v>1346700936</v>
      </c>
      <c r="B269" s="193" t="s">
        <v>452</v>
      </c>
      <c r="C269" s="195">
        <v>11900</v>
      </c>
      <c r="D269" s="195">
        <v>6670</v>
      </c>
      <c r="E269" s="195">
        <v>11900</v>
      </c>
      <c r="G269" s="195">
        <v>2808</v>
      </c>
    </row>
    <row r="270" spans="1:9" x14ac:dyDescent="0.2">
      <c r="A270" s="193">
        <v>1346700937</v>
      </c>
      <c r="B270" s="193" t="s">
        <v>453</v>
      </c>
      <c r="H270" s="195">
        <v>827</v>
      </c>
      <c r="I270" s="195">
        <v>3515</v>
      </c>
    </row>
    <row r="271" spans="1:9" x14ac:dyDescent="0.2">
      <c r="A271" s="193">
        <v>1346700938</v>
      </c>
      <c r="B271" s="193" t="s">
        <v>454</v>
      </c>
      <c r="C271" s="195">
        <v>135000</v>
      </c>
      <c r="D271" s="195">
        <v>93380</v>
      </c>
      <c r="E271" s="195">
        <v>135000</v>
      </c>
      <c r="F271" s="195">
        <v>133473</v>
      </c>
      <c r="G271" s="195">
        <v>51395</v>
      </c>
      <c r="H271" s="195">
        <v>3757</v>
      </c>
      <c r="I271" s="195">
        <v>9464</v>
      </c>
    </row>
    <row r="272" spans="1:9" x14ac:dyDescent="0.2">
      <c r="A272" s="193">
        <v>1346700939</v>
      </c>
      <c r="B272" s="193" t="s">
        <v>88</v>
      </c>
      <c r="C272" s="195">
        <v>79668</v>
      </c>
      <c r="D272" s="195">
        <v>49491</v>
      </c>
      <c r="E272" s="195">
        <v>79668</v>
      </c>
      <c r="F272" s="195">
        <v>30970</v>
      </c>
    </row>
    <row r="273" spans="1:9" x14ac:dyDescent="0.2">
      <c r="A273" s="193">
        <v>1346800932</v>
      </c>
      <c r="B273" s="193" t="s">
        <v>455</v>
      </c>
      <c r="C273" s="195">
        <v>24156</v>
      </c>
      <c r="D273" s="195">
        <v>7942</v>
      </c>
      <c r="E273" s="195">
        <v>24156</v>
      </c>
      <c r="F273" s="195">
        <v>11487</v>
      </c>
      <c r="G273" s="195">
        <v>4708</v>
      </c>
      <c r="H273" s="195">
        <v>4330</v>
      </c>
      <c r="I273" s="195">
        <v>14361</v>
      </c>
    </row>
    <row r="274" spans="1:9" x14ac:dyDescent="0.2">
      <c r="A274" s="193">
        <v>1346800933</v>
      </c>
      <c r="B274" s="193" t="s">
        <v>456</v>
      </c>
      <c r="C274" s="195">
        <v>49005</v>
      </c>
      <c r="D274" s="195">
        <v>48309</v>
      </c>
      <c r="E274" s="195">
        <v>49005</v>
      </c>
      <c r="F274" s="195">
        <v>82974</v>
      </c>
      <c r="G274" s="195">
        <v>77560</v>
      </c>
      <c r="H274" s="195">
        <v>218257</v>
      </c>
      <c r="I274" s="195">
        <v>630257</v>
      </c>
    </row>
    <row r="275" spans="1:9" x14ac:dyDescent="0.2">
      <c r="A275" s="193">
        <v>1346800934</v>
      </c>
      <c r="B275" s="193" t="s">
        <v>457</v>
      </c>
      <c r="C275" s="195">
        <v>10800</v>
      </c>
      <c r="D275" s="195">
        <v>5024</v>
      </c>
      <c r="E275" s="195">
        <v>10800</v>
      </c>
      <c r="F275" s="195">
        <v>16500</v>
      </c>
      <c r="G275" s="195">
        <v>20589</v>
      </c>
      <c r="H275" s="195">
        <v>15923</v>
      </c>
      <c r="I275" s="195">
        <v>29471</v>
      </c>
    </row>
    <row r="276" spans="1:9" x14ac:dyDescent="0.2">
      <c r="A276" s="193">
        <v>1346800935</v>
      </c>
      <c r="B276" s="193" t="s">
        <v>458</v>
      </c>
      <c r="C276" s="195">
        <v>115200</v>
      </c>
      <c r="E276" s="195">
        <v>115200</v>
      </c>
      <c r="G276" s="195">
        <v>114356</v>
      </c>
      <c r="H276" s="195">
        <v>106553</v>
      </c>
      <c r="I276" s="195">
        <v>110574</v>
      </c>
    </row>
    <row r="277" spans="1:9" x14ac:dyDescent="0.2">
      <c r="A277" s="193">
        <v>1346800936</v>
      </c>
      <c r="B277" s="193" t="s">
        <v>459</v>
      </c>
      <c r="C277" s="195">
        <v>246240</v>
      </c>
      <c r="D277" s="195">
        <v>127197</v>
      </c>
      <c r="E277" s="195">
        <v>246240</v>
      </c>
      <c r="F277" s="195">
        <v>199281</v>
      </c>
      <c r="G277" s="195">
        <v>192404</v>
      </c>
      <c r="H277" s="195">
        <v>169904</v>
      </c>
      <c r="I277" s="195">
        <v>101783</v>
      </c>
    </row>
    <row r="278" spans="1:9" x14ac:dyDescent="0.2">
      <c r="A278" s="193">
        <v>1346800937</v>
      </c>
      <c r="B278" s="193" t="s">
        <v>1419</v>
      </c>
    </row>
    <row r="279" spans="1:9" x14ac:dyDescent="0.2">
      <c r="A279" s="193">
        <v>1346800939</v>
      </c>
      <c r="B279" s="193" t="s">
        <v>460</v>
      </c>
    </row>
    <row r="280" spans="1:9" x14ac:dyDescent="0.2">
      <c r="A280" s="193">
        <v>1346800940</v>
      </c>
      <c r="B280" s="193" t="s">
        <v>67</v>
      </c>
      <c r="D280" s="195">
        <v>66700</v>
      </c>
      <c r="F280" s="195">
        <v>113750</v>
      </c>
    </row>
    <row r="281" spans="1:9" x14ac:dyDescent="0.2">
      <c r="A281" s="193">
        <v>1346800941</v>
      </c>
      <c r="B281" s="193" t="s">
        <v>68</v>
      </c>
      <c r="F281" s="195">
        <v>5972</v>
      </c>
    </row>
    <row r="282" spans="1:9" x14ac:dyDescent="0.2">
      <c r="A282" s="193">
        <v>1347000930</v>
      </c>
      <c r="B282" s="193" t="s">
        <v>446</v>
      </c>
    </row>
    <row r="283" spans="1:9" x14ac:dyDescent="0.2">
      <c r="A283" s="193">
        <v>1347100930</v>
      </c>
      <c r="B283" s="193" t="s">
        <v>1420</v>
      </c>
    </row>
    <row r="284" spans="1:9" x14ac:dyDescent="0.2">
      <c r="A284" s="193">
        <v>1347100931</v>
      </c>
      <c r="B284" s="193" t="s">
        <v>461</v>
      </c>
      <c r="C284" s="195">
        <v>344500</v>
      </c>
      <c r="D284" s="195">
        <v>109302</v>
      </c>
      <c r="E284" s="195">
        <v>344500</v>
      </c>
      <c r="F284" s="195">
        <v>295314</v>
      </c>
      <c r="G284" s="195">
        <v>310306</v>
      </c>
      <c r="H284" s="195">
        <v>285052</v>
      </c>
      <c r="I284" s="195">
        <v>144427</v>
      </c>
    </row>
    <row r="285" spans="1:9" x14ac:dyDescent="0.2">
      <c r="A285" s="193">
        <v>1347100932</v>
      </c>
      <c r="B285" s="193" t="s">
        <v>1198</v>
      </c>
      <c r="D285" s="195">
        <v>36119</v>
      </c>
      <c r="F285" s="195">
        <v>35289</v>
      </c>
      <c r="G285" s="195">
        <v>133637</v>
      </c>
      <c r="H285" s="195">
        <v>134564</v>
      </c>
      <c r="I285" s="195">
        <v>75789</v>
      </c>
    </row>
    <row r="286" spans="1:9" x14ac:dyDescent="0.2">
      <c r="A286" s="193">
        <v>1347100933</v>
      </c>
      <c r="B286" s="193" t="s">
        <v>462</v>
      </c>
      <c r="C286" s="195">
        <v>15000</v>
      </c>
      <c r="E286" s="195">
        <v>15000</v>
      </c>
      <c r="F286" s="195">
        <v>11835</v>
      </c>
      <c r="G286" s="195">
        <v>11851</v>
      </c>
      <c r="H286" s="195">
        <v>15336</v>
      </c>
      <c r="I286" s="195">
        <v>4719</v>
      </c>
    </row>
    <row r="287" spans="1:9" x14ac:dyDescent="0.2">
      <c r="A287" s="193">
        <v>1347100934</v>
      </c>
      <c r="B287" s="193" t="s">
        <v>463</v>
      </c>
      <c r="C287" s="195">
        <v>155790</v>
      </c>
      <c r="D287" s="195">
        <v>90588</v>
      </c>
      <c r="E287" s="195">
        <v>155790</v>
      </c>
      <c r="F287" s="195">
        <v>151823</v>
      </c>
      <c r="G287" s="195">
        <v>142005</v>
      </c>
      <c r="H287" s="195">
        <v>143741</v>
      </c>
      <c r="I287" s="195">
        <v>98205</v>
      </c>
    </row>
    <row r="288" spans="1:9" x14ac:dyDescent="0.2">
      <c r="A288" s="193">
        <v>1347100935</v>
      </c>
      <c r="B288" s="193" t="s">
        <v>1421</v>
      </c>
      <c r="C288" s="195">
        <v>71100</v>
      </c>
      <c r="E288" s="195">
        <v>71100</v>
      </c>
      <c r="F288" s="195">
        <v>17728</v>
      </c>
      <c r="G288" s="195">
        <v>166866</v>
      </c>
    </row>
    <row r="289" spans="1:9" x14ac:dyDescent="0.2">
      <c r="A289" s="193">
        <v>1347100936</v>
      </c>
      <c r="B289" s="193" t="s">
        <v>50</v>
      </c>
      <c r="C289" s="195">
        <v>32805</v>
      </c>
      <c r="D289" s="195">
        <v>6107</v>
      </c>
      <c r="E289" s="195">
        <v>32805</v>
      </c>
      <c r="F289" s="195">
        <v>26448</v>
      </c>
      <c r="G289" s="195">
        <v>14376</v>
      </c>
    </row>
    <row r="290" spans="1:9" x14ac:dyDescent="0.2">
      <c r="A290" s="193">
        <v>1347100938</v>
      </c>
      <c r="B290" s="193" t="s">
        <v>1422</v>
      </c>
    </row>
    <row r="291" spans="1:9" x14ac:dyDescent="0.2">
      <c r="A291" s="193">
        <v>1347100940</v>
      </c>
      <c r="B291" s="193" t="s">
        <v>69</v>
      </c>
      <c r="C291" s="195">
        <v>20340</v>
      </c>
      <c r="E291" s="195">
        <v>20340</v>
      </c>
      <c r="F291" s="195">
        <v>14885</v>
      </c>
    </row>
    <row r="292" spans="1:9" x14ac:dyDescent="0.2">
      <c r="A292" s="193">
        <v>1347110930</v>
      </c>
      <c r="B292" s="193" t="s">
        <v>464</v>
      </c>
      <c r="C292" s="195">
        <v>72000</v>
      </c>
      <c r="E292" s="195">
        <v>72000</v>
      </c>
    </row>
    <row r="293" spans="1:9" x14ac:dyDescent="0.2">
      <c r="A293" s="193">
        <v>1347140931</v>
      </c>
      <c r="B293" s="193" t="s">
        <v>1145</v>
      </c>
      <c r="C293" s="195">
        <v>28800</v>
      </c>
      <c r="E293" s="195">
        <v>28800</v>
      </c>
      <c r="F293" s="195">
        <v>28802</v>
      </c>
      <c r="G293" s="195">
        <v>58034</v>
      </c>
    </row>
    <row r="294" spans="1:9" x14ac:dyDescent="0.2">
      <c r="A294" s="193">
        <v>1347140932</v>
      </c>
      <c r="B294" s="193" t="s">
        <v>465</v>
      </c>
      <c r="H294" s="195">
        <v>12083</v>
      </c>
      <c r="I294" s="195">
        <v>25192</v>
      </c>
    </row>
    <row r="295" spans="1:9" x14ac:dyDescent="0.2">
      <c r="A295" s="193">
        <v>1347200930</v>
      </c>
      <c r="B295" s="193" t="s">
        <v>1423</v>
      </c>
    </row>
    <row r="296" spans="1:9" x14ac:dyDescent="0.2">
      <c r="A296" s="193">
        <v>1347300790</v>
      </c>
      <c r="B296" s="193" t="s">
        <v>1038</v>
      </c>
      <c r="H296" s="195">
        <v>15869.71</v>
      </c>
    </row>
    <row r="297" spans="1:9" x14ac:dyDescent="0.2">
      <c r="A297" s="193">
        <v>1347300930</v>
      </c>
      <c r="B297" s="193" t="s">
        <v>466</v>
      </c>
      <c r="C297" s="195">
        <v>6000</v>
      </c>
      <c r="D297" s="195">
        <v>1907</v>
      </c>
      <c r="E297" s="195">
        <v>6000</v>
      </c>
      <c r="F297" s="195">
        <v>6000</v>
      </c>
      <c r="G297" s="195">
        <v>6004</v>
      </c>
      <c r="H297" s="195">
        <v>5972</v>
      </c>
      <c r="I297" s="195">
        <v>6017</v>
      </c>
    </row>
    <row r="298" spans="1:9" x14ac:dyDescent="0.2">
      <c r="A298" s="193">
        <v>1347300932</v>
      </c>
      <c r="B298" s="193" t="s">
        <v>467</v>
      </c>
      <c r="C298" s="195">
        <v>3750</v>
      </c>
      <c r="E298" s="195">
        <v>3750</v>
      </c>
      <c r="H298" s="195">
        <v>16393</v>
      </c>
      <c r="I298" s="195">
        <v>12110</v>
      </c>
    </row>
    <row r="299" spans="1:9" x14ac:dyDescent="0.2">
      <c r="A299" s="193">
        <v>1347300933</v>
      </c>
      <c r="B299" s="193" t="s">
        <v>1424</v>
      </c>
    </row>
    <row r="300" spans="1:9" x14ac:dyDescent="0.2">
      <c r="A300" s="193">
        <v>1347300934</v>
      </c>
      <c r="B300" s="193" t="s">
        <v>468</v>
      </c>
      <c r="H300" s="195">
        <v>11480</v>
      </c>
      <c r="I300" s="195">
        <v>99802</v>
      </c>
    </row>
    <row r="301" spans="1:9" x14ac:dyDescent="0.2">
      <c r="A301" s="193">
        <v>1347300935</v>
      </c>
      <c r="B301" s="193" t="s">
        <v>469</v>
      </c>
      <c r="C301" s="195">
        <v>7500</v>
      </c>
      <c r="E301" s="195">
        <v>7500</v>
      </c>
      <c r="I301" s="195">
        <v>5751</v>
      </c>
    </row>
    <row r="302" spans="1:9" x14ac:dyDescent="0.2">
      <c r="A302" s="193">
        <v>1347300936</v>
      </c>
      <c r="B302" s="193" t="s">
        <v>1425</v>
      </c>
      <c r="C302" s="195">
        <v>90675</v>
      </c>
      <c r="D302" s="195">
        <v>86710</v>
      </c>
      <c r="E302" s="195">
        <v>90675</v>
      </c>
      <c r="F302" s="195">
        <v>96108</v>
      </c>
      <c r="G302" s="195">
        <v>128661</v>
      </c>
    </row>
    <row r="303" spans="1:9" x14ac:dyDescent="0.2">
      <c r="A303" s="193">
        <v>1347300937</v>
      </c>
      <c r="B303" s="193" t="s">
        <v>96</v>
      </c>
      <c r="C303" s="195">
        <v>14189</v>
      </c>
      <c r="D303" s="195">
        <v>10346</v>
      </c>
      <c r="E303" s="195">
        <v>14189</v>
      </c>
      <c r="F303" s="195">
        <v>14543</v>
      </c>
    </row>
    <row r="304" spans="1:9" x14ac:dyDescent="0.2">
      <c r="A304" s="193">
        <v>1347300938</v>
      </c>
      <c r="B304" s="193" t="s">
        <v>1478</v>
      </c>
      <c r="D304" s="195">
        <v>3335</v>
      </c>
    </row>
    <row r="305" spans="1:9" x14ac:dyDescent="0.2">
      <c r="A305" s="193">
        <v>1347400930</v>
      </c>
      <c r="B305" s="193" t="s">
        <v>1426</v>
      </c>
      <c r="H305" s="195">
        <v>70445</v>
      </c>
    </row>
    <row r="306" spans="1:9" x14ac:dyDescent="0.2">
      <c r="A306" s="193">
        <v>1347400931</v>
      </c>
      <c r="B306" s="193" t="s">
        <v>470</v>
      </c>
      <c r="C306" s="195">
        <v>326520</v>
      </c>
      <c r="D306" s="195">
        <v>242776</v>
      </c>
      <c r="E306" s="195">
        <v>326520</v>
      </c>
      <c r="F306" s="195">
        <v>322412</v>
      </c>
      <c r="G306" s="195">
        <v>263008</v>
      </c>
      <c r="H306" s="195">
        <v>202125</v>
      </c>
      <c r="I306" s="195">
        <v>237333</v>
      </c>
    </row>
    <row r="307" spans="1:9" x14ac:dyDescent="0.2">
      <c r="A307" s="193">
        <v>1347400933</v>
      </c>
      <c r="B307" s="193" t="s">
        <v>471</v>
      </c>
      <c r="C307" s="195">
        <v>22500</v>
      </c>
      <c r="E307" s="195">
        <v>22500</v>
      </c>
      <c r="F307" s="195">
        <v>19500</v>
      </c>
      <c r="G307" s="195">
        <v>16650</v>
      </c>
      <c r="H307" s="195">
        <v>26462</v>
      </c>
      <c r="I307" s="195">
        <v>18509</v>
      </c>
    </row>
    <row r="308" spans="1:9" x14ac:dyDescent="0.2">
      <c r="A308" s="193">
        <v>1347400934</v>
      </c>
      <c r="B308" s="193" t="s">
        <v>472</v>
      </c>
      <c r="C308" s="195">
        <v>7500</v>
      </c>
      <c r="E308" s="195">
        <v>7500</v>
      </c>
      <c r="I308" s="195">
        <v>6075</v>
      </c>
    </row>
    <row r="309" spans="1:9" x14ac:dyDescent="0.2">
      <c r="A309" s="193">
        <v>1347400935</v>
      </c>
      <c r="B309" s="193" t="s">
        <v>473</v>
      </c>
      <c r="C309" s="195">
        <v>22500</v>
      </c>
      <c r="E309" s="195">
        <v>22500</v>
      </c>
      <c r="G309" s="195">
        <v>34200</v>
      </c>
      <c r="H309" s="195">
        <v>21473</v>
      </c>
      <c r="I309" s="195">
        <v>17786</v>
      </c>
    </row>
    <row r="310" spans="1:9" x14ac:dyDescent="0.2">
      <c r="A310" s="193">
        <v>1348200410</v>
      </c>
      <c r="B310" s="193" t="s">
        <v>1427</v>
      </c>
    </row>
    <row r="311" spans="1:9" x14ac:dyDescent="0.2">
      <c r="A311" s="193">
        <v>1348200790</v>
      </c>
      <c r="B311" s="193" t="s">
        <v>1428</v>
      </c>
    </row>
    <row r="312" spans="1:9" x14ac:dyDescent="0.2">
      <c r="A312" s="193">
        <v>1348200931</v>
      </c>
      <c r="B312" s="193" t="s">
        <v>474</v>
      </c>
      <c r="C312" s="195">
        <v>18750</v>
      </c>
      <c r="E312" s="195">
        <v>18750</v>
      </c>
      <c r="F312" s="195">
        <v>11101</v>
      </c>
      <c r="G312" s="195">
        <v>10050</v>
      </c>
      <c r="H312" s="195">
        <v>5625</v>
      </c>
      <c r="I312" s="195">
        <v>21877</v>
      </c>
    </row>
    <row r="313" spans="1:9" x14ac:dyDescent="0.2">
      <c r="A313" s="193">
        <v>1348200932</v>
      </c>
      <c r="B313" s="193" t="s">
        <v>1429</v>
      </c>
    </row>
    <row r="314" spans="1:9" x14ac:dyDescent="0.2">
      <c r="A314" s="193">
        <v>1348200933</v>
      </c>
      <c r="B314" s="193" t="s">
        <v>1430</v>
      </c>
    </row>
    <row r="315" spans="1:9" x14ac:dyDescent="0.2">
      <c r="A315" s="193">
        <v>1348200934</v>
      </c>
      <c r="B315" s="193" t="s">
        <v>1253</v>
      </c>
    </row>
    <row r="316" spans="1:9" x14ac:dyDescent="0.2">
      <c r="A316" s="193">
        <v>1348200935</v>
      </c>
      <c r="B316" s="193" t="s">
        <v>1199</v>
      </c>
      <c r="I316" s="195">
        <v>45000</v>
      </c>
    </row>
    <row r="317" spans="1:9" x14ac:dyDescent="0.2">
      <c r="A317" s="193">
        <v>1348200936</v>
      </c>
      <c r="B317" s="193" t="s">
        <v>1431</v>
      </c>
    </row>
    <row r="318" spans="1:9" x14ac:dyDescent="0.2">
      <c r="A318" s="193">
        <v>1348200937</v>
      </c>
      <c r="B318" s="193" t="s">
        <v>1365</v>
      </c>
      <c r="C318" s="195">
        <v>9000</v>
      </c>
      <c r="D318" s="195">
        <v>3375</v>
      </c>
      <c r="E318" s="195">
        <v>9000</v>
      </c>
      <c r="F318" s="195">
        <v>10328</v>
      </c>
      <c r="G318" s="195">
        <v>8025</v>
      </c>
      <c r="H318" s="195">
        <v>12132</v>
      </c>
    </row>
    <row r="319" spans="1:9" x14ac:dyDescent="0.2">
      <c r="A319" s="193">
        <v>1348300930</v>
      </c>
      <c r="B319" s="193" t="s">
        <v>475</v>
      </c>
      <c r="C319" s="195">
        <v>6000</v>
      </c>
      <c r="D319" s="195">
        <v>2694</v>
      </c>
      <c r="E319" s="195">
        <v>6000</v>
      </c>
      <c r="F319" s="195">
        <v>3983</v>
      </c>
      <c r="G319" s="195">
        <v>3036</v>
      </c>
      <c r="H319" s="195">
        <v>798</v>
      </c>
      <c r="I319" s="195">
        <v>2530</v>
      </c>
    </row>
    <row r="320" spans="1:9" x14ac:dyDescent="0.2">
      <c r="A320" s="193">
        <v>1348300931</v>
      </c>
      <c r="B320" s="193" t="s">
        <v>1432</v>
      </c>
    </row>
    <row r="321" spans="1:9" x14ac:dyDescent="0.2">
      <c r="A321" s="193">
        <v>1348400930</v>
      </c>
      <c r="B321" s="193" t="s">
        <v>476</v>
      </c>
      <c r="C321" s="195">
        <v>1950</v>
      </c>
      <c r="E321" s="195">
        <v>1950</v>
      </c>
      <c r="F321" s="195">
        <v>708</v>
      </c>
      <c r="G321" s="195">
        <v>555</v>
      </c>
      <c r="H321" s="195">
        <v>417</v>
      </c>
      <c r="I321" s="195">
        <v>956</v>
      </c>
    </row>
    <row r="322" spans="1:9" x14ac:dyDescent="0.2">
      <c r="A322" s="193">
        <v>1348500932</v>
      </c>
      <c r="B322" s="193" t="s">
        <v>477</v>
      </c>
      <c r="C322" s="195">
        <v>27000</v>
      </c>
      <c r="D322" s="195">
        <v>18000</v>
      </c>
      <c r="E322" s="195">
        <v>27000</v>
      </c>
      <c r="F322" s="195">
        <v>31849</v>
      </c>
      <c r="G322" s="195">
        <v>18143</v>
      </c>
      <c r="H322" s="195">
        <v>27000</v>
      </c>
      <c r="I322" s="195">
        <v>30000</v>
      </c>
    </row>
    <row r="323" spans="1:9" x14ac:dyDescent="0.2">
      <c r="A323" s="193">
        <v>1348801420</v>
      </c>
      <c r="B323" s="193" t="s">
        <v>304</v>
      </c>
      <c r="H323" s="195">
        <v>112500</v>
      </c>
      <c r="I323" s="195">
        <v>22500</v>
      </c>
    </row>
    <row r="324" spans="1:9" x14ac:dyDescent="0.2">
      <c r="A324" s="193">
        <v>1349000422</v>
      </c>
      <c r="B324" s="193" t="s">
        <v>1200</v>
      </c>
      <c r="D324" s="195">
        <v>5668</v>
      </c>
      <c r="F324" s="195">
        <v>1664</v>
      </c>
      <c r="G324" s="195">
        <v>1171</v>
      </c>
      <c r="H324" s="195">
        <v>1800</v>
      </c>
      <c r="I324" s="195">
        <v>250</v>
      </c>
    </row>
    <row r="325" spans="1:9" x14ac:dyDescent="0.2">
      <c r="A325" s="193">
        <v>1349000930</v>
      </c>
      <c r="B325" s="193" t="s">
        <v>478</v>
      </c>
      <c r="C325" s="195">
        <v>3500</v>
      </c>
      <c r="D325" s="195">
        <v>65398</v>
      </c>
      <c r="E325" s="195">
        <v>3500</v>
      </c>
      <c r="F325" s="195">
        <v>12066</v>
      </c>
      <c r="G325" s="195">
        <v>9431</v>
      </c>
      <c r="H325" s="195">
        <v>30199</v>
      </c>
      <c r="I325" s="195">
        <v>24342</v>
      </c>
    </row>
    <row r="326" spans="1:9" x14ac:dyDescent="0.2">
      <c r="A326" s="193">
        <v>1349000931</v>
      </c>
      <c r="B326" s="193" t="s">
        <v>479</v>
      </c>
      <c r="C326" s="195">
        <v>3750</v>
      </c>
      <c r="E326" s="195">
        <v>3750</v>
      </c>
      <c r="G326" s="195">
        <v>16396</v>
      </c>
      <c r="H326" s="195">
        <v>24763</v>
      </c>
      <c r="I326" s="195">
        <v>45301</v>
      </c>
    </row>
    <row r="327" spans="1:9" x14ac:dyDescent="0.2">
      <c r="A327" s="193">
        <v>1349000932</v>
      </c>
      <c r="B327" s="193" t="s">
        <v>480</v>
      </c>
      <c r="C327" s="195">
        <v>37454</v>
      </c>
      <c r="D327" s="195">
        <v>24876</v>
      </c>
      <c r="E327" s="195">
        <v>37454</v>
      </c>
      <c r="F327" s="195">
        <v>37146</v>
      </c>
      <c r="G327" s="195">
        <v>37013</v>
      </c>
      <c r="H327" s="195">
        <v>35341</v>
      </c>
      <c r="I327" s="195">
        <v>34237</v>
      </c>
    </row>
    <row r="328" spans="1:9" x14ac:dyDescent="0.2">
      <c r="A328" s="193">
        <v>1349000933</v>
      </c>
      <c r="B328" s="193" t="s">
        <v>481</v>
      </c>
      <c r="F328" s="195">
        <v>9295</v>
      </c>
      <c r="G328" s="195">
        <v>116560</v>
      </c>
      <c r="H328" s="195">
        <v>102863</v>
      </c>
      <c r="I328" s="195">
        <v>104886</v>
      </c>
    </row>
    <row r="329" spans="1:9" x14ac:dyDescent="0.2">
      <c r="A329" s="193">
        <v>1349000934</v>
      </c>
      <c r="B329" s="193" t="s">
        <v>482</v>
      </c>
      <c r="C329" s="195">
        <v>107182</v>
      </c>
      <c r="D329" s="195">
        <v>118087</v>
      </c>
      <c r="E329" s="195">
        <v>107182</v>
      </c>
      <c r="F329" s="195">
        <v>102866</v>
      </c>
      <c r="G329" s="195">
        <v>186915</v>
      </c>
      <c r="H329" s="195">
        <v>242416</v>
      </c>
      <c r="I329" s="195">
        <v>293020</v>
      </c>
    </row>
    <row r="330" spans="1:9" x14ac:dyDescent="0.2">
      <c r="A330" s="193">
        <v>1349000935</v>
      </c>
      <c r="B330" s="193" t="s">
        <v>483</v>
      </c>
      <c r="C330" s="195">
        <v>36500</v>
      </c>
      <c r="D330" s="195">
        <v>26389</v>
      </c>
      <c r="E330" s="195">
        <v>36500</v>
      </c>
      <c r="F330" s="195">
        <v>39320</v>
      </c>
      <c r="G330" s="195">
        <v>32159</v>
      </c>
      <c r="H330" s="195">
        <v>24537</v>
      </c>
      <c r="I330" s="195">
        <v>32540</v>
      </c>
    </row>
    <row r="331" spans="1:9" x14ac:dyDescent="0.2">
      <c r="A331" s="193">
        <v>1349000936</v>
      </c>
      <c r="B331" s="193" t="s">
        <v>1433</v>
      </c>
    </row>
    <row r="332" spans="1:9" x14ac:dyDescent="0.2">
      <c r="A332" s="193">
        <v>1349000937</v>
      </c>
      <c r="B332" s="193" t="s">
        <v>1434</v>
      </c>
    </row>
    <row r="333" spans="1:9" x14ac:dyDescent="0.2">
      <c r="A333" s="193">
        <v>1349000938</v>
      </c>
      <c r="B333" s="193" t="s">
        <v>484</v>
      </c>
      <c r="C333" s="195">
        <v>25000</v>
      </c>
      <c r="D333" s="195">
        <v>23580</v>
      </c>
      <c r="E333" s="195">
        <v>25000</v>
      </c>
      <c r="F333" s="195">
        <v>37684</v>
      </c>
      <c r="G333" s="195">
        <v>38202</v>
      </c>
      <c r="H333" s="195">
        <v>33243</v>
      </c>
      <c r="I333" s="195">
        <v>33485</v>
      </c>
    </row>
    <row r="334" spans="1:9" x14ac:dyDescent="0.2">
      <c r="A334" s="193">
        <v>1349000939</v>
      </c>
      <c r="B334" s="193" t="s">
        <v>1435</v>
      </c>
    </row>
    <row r="335" spans="1:9" x14ac:dyDescent="0.2">
      <c r="A335" s="193">
        <v>1349000941</v>
      </c>
      <c r="B335" s="193" t="s">
        <v>70</v>
      </c>
      <c r="C335" s="195">
        <v>117000</v>
      </c>
      <c r="D335" s="195">
        <v>85034</v>
      </c>
      <c r="E335" s="195">
        <v>117000</v>
      </c>
      <c r="F335" s="195">
        <v>114215</v>
      </c>
    </row>
    <row r="336" spans="1:9" x14ac:dyDescent="0.2">
      <c r="A336" s="193">
        <v>1349001930</v>
      </c>
      <c r="B336" s="193" t="s">
        <v>1436</v>
      </c>
    </row>
    <row r="337" spans="1:9" x14ac:dyDescent="0.2">
      <c r="A337" s="193">
        <v>1349001931</v>
      </c>
      <c r="B337" s="193" t="s">
        <v>1366</v>
      </c>
      <c r="C337" s="195">
        <v>15000</v>
      </c>
      <c r="D337" s="195">
        <v>68318</v>
      </c>
      <c r="E337" s="195">
        <v>15000</v>
      </c>
      <c r="F337" s="195">
        <v>145688</v>
      </c>
      <c r="G337" s="195">
        <v>127182</v>
      </c>
      <c r="H337" s="195">
        <v>170850</v>
      </c>
    </row>
    <row r="338" spans="1:9" x14ac:dyDescent="0.2">
      <c r="A338" s="193">
        <v>1349001933</v>
      </c>
      <c r="B338" s="193" t="s">
        <v>1437</v>
      </c>
    </row>
    <row r="339" spans="1:9" x14ac:dyDescent="0.2">
      <c r="A339" s="193">
        <v>1349001934</v>
      </c>
      <c r="B339" s="193" t="s">
        <v>485</v>
      </c>
      <c r="C339" s="195">
        <v>135000</v>
      </c>
      <c r="E339" s="195">
        <v>135000</v>
      </c>
      <c r="I339" s="195">
        <v>207795</v>
      </c>
    </row>
    <row r="340" spans="1:9" x14ac:dyDescent="0.2">
      <c r="A340" s="193">
        <v>1349001937</v>
      </c>
      <c r="B340" s="193" t="s">
        <v>486</v>
      </c>
      <c r="C340" s="195">
        <v>11100</v>
      </c>
      <c r="D340" s="195">
        <v>7812</v>
      </c>
      <c r="E340" s="195">
        <v>11100</v>
      </c>
      <c r="F340" s="195">
        <v>6356</v>
      </c>
      <c r="G340" s="195">
        <v>9707</v>
      </c>
      <c r="H340" s="195">
        <v>16300</v>
      </c>
      <c r="I340" s="195">
        <v>15827</v>
      </c>
    </row>
    <row r="341" spans="1:9" x14ac:dyDescent="0.2">
      <c r="A341" s="193">
        <v>1349001939</v>
      </c>
      <c r="B341" s="193" t="s">
        <v>487</v>
      </c>
      <c r="C341" s="195">
        <v>15540</v>
      </c>
      <c r="D341" s="195">
        <v>8671</v>
      </c>
      <c r="E341" s="195">
        <v>15540</v>
      </c>
      <c r="F341" s="195">
        <v>13212</v>
      </c>
      <c r="G341" s="195">
        <v>12786</v>
      </c>
      <c r="H341" s="195">
        <v>16565</v>
      </c>
      <c r="I341" s="195">
        <v>15989</v>
      </c>
    </row>
    <row r="342" spans="1:9" x14ac:dyDescent="0.2">
      <c r="A342" s="193">
        <v>1349002420</v>
      </c>
      <c r="B342" s="193" t="s">
        <v>1201</v>
      </c>
      <c r="D342" s="195">
        <v>2855</v>
      </c>
      <c r="F342" s="195">
        <v>3740</v>
      </c>
      <c r="G342" s="195">
        <v>2225</v>
      </c>
      <c r="H342" s="195">
        <v>846</v>
      </c>
      <c r="I342" s="195">
        <v>645</v>
      </c>
    </row>
    <row r="343" spans="1:9" x14ac:dyDescent="0.2">
      <c r="A343" s="193">
        <v>1349002930</v>
      </c>
      <c r="B343" s="193" t="s">
        <v>1438</v>
      </c>
    </row>
    <row r="344" spans="1:9" x14ac:dyDescent="0.2">
      <c r="A344" s="193">
        <v>1349002939</v>
      </c>
      <c r="B344" s="193" t="s">
        <v>488</v>
      </c>
      <c r="F344" s="195">
        <v>1021</v>
      </c>
      <c r="G344" s="195">
        <v>4052</v>
      </c>
      <c r="H344" s="195">
        <v>2920</v>
      </c>
      <c r="I344" s="195">
        <v>3769</v>
      </c>
    </row>
    <row r="345" spans="1:9" x14ac:dyDescent="0.2">
      <c r="A345" s="193">
        <v>1349300930</v>
      </c>
      <c r="B345" s="193" t="s">
        <v>1439</v>
      </c>
      <c r="G345" s="195">
        <v>9150</v>
      </c>
      <c r="H345" s="195">
        <v>6669</v>
      </c>
    </row>
    <row r="346" spans="1:9" x14ac:dyDescent="0.2">
      <c r="A346" s="193">
        <v>1360000410</v>
      </c>
      <c r="B346" s="193" t="s">
        <v>342</v>
      </c>
      <c r="C346" s="195">
        <v>30000</v>
      </c>
      <c r="D346" s="195">
        <v>26535</v>
      </c>
      <c r="E346" s="195">
        <v>30000</v>
      </c>
      <c r="F346" s="195">
        <v>45725</v>
      </c>
      <c r="G346" s="195">
        <v>6184</v>
      </c>
      <c r="H346" s="195">
        <v>31710</v>
      </c>
    </row>
    <row r="347" spans="1:9" x14ac:dyDescent="0.2">
      <c r="A347" s="193">
        <v>1392000440</v>
      </c>
      <c r="B347" s="193" t="s">
        <v>1367</v>
      </c>
      <c r="H347" s="195">
        <v>1000</v>
      </c>
    </row>
    <row r="348" spans="1:9" x14ac:dyDescent="0.2">
      <c r="A348" s="193">
        <v>1413100211</v>
      </c>
      <c r="B348" s="193" t="s">
        <v>1440</v>
      </c>
      <c r="G348" s="195">
        <v>2449.1</v>
      </c>
    </row>
    <row r="349" spans="1:9" x14ac:dyDescent="0.2">
      <c r="A349" s="193">
        <v>1413100212</v>
      </c>
      <c r="B349" s="193" t="s">
        <v>280</v>
      </c>
      <c r="C349" s="195">
        <v>349748</v>
      </c>
      <c r="D349" s="195">
        <v>245538.9</v>
      </c>
      <c r="E349" s="195">
        <v>349748</v>
      </c>
      <c r="F349" s="195">
        <v>739032.38</v>
      </c>
      <c r="G349" s="195">
        <v>695407.65</v>
      </c>
      <c r="H349" s="195">
        <v>694626.76</v>
      </c>
      <c r="I349" s="195">
        <v>2909137.47</v>
      </c>
    </row>
    <row r="350" spans="1:9" x14ac:dyDescent="0.2">
      <c r="A350" s="193">
        <v>1413100213</v>
      </c>
      <c r="B350" s="193" t="s">
        <v>1441</v>
      </c>
    </row>
    <row r="351" spans="1:9" x14ac:dyDescent="0.2">
      <c r="A351" s="193">
        <v>1413100214</v>
      </c>
      <c r="B351" s="193" t="s">
        <v>1442</v>
      </c>
    </row>
    <row r="352" spans="1:9" x14ac:dyDescent="0.2">
      <c r="A352" s="193">
        <v>1413100215</v>
      </c>
      <c r="B352" s="193" t="s">
        <v>1443</v>
      </c>
    </row>
    <row r="353" spans="1:9" x14ac:dyDescent="0.2">
      <c r="A353" s="193">
        <v>1413100216</v>
      </c>
      <c r="B353" s="193" t="s">
        <v>1444</v>
      </c>
      <c r="D353" s="195">
        <v>515.79999999999995</v>
      </c>
      <c r="F353" s="195">
        <v>2870.8</v>
      </c>
      <c r="G353" s="195">
        <v>3758.6</v>
      </c>
      <c r="H353" s="195">
        <v>1490.53</v>
      </c>
      <c r="I353" s="195">
        <v>2811.99</v>
      </c>
    </row>
    <row r="354" spans="1:9" x14ac:dyDescent="0.2">
      <c r="A354" s="193">
        <v>1413100217</v>
      </c>
      <c r="B354" s="193" t="s">
        <v>1445</v>
      </c>
      <c r="C354" s="195">
        <v>2000</v>
      </c>
      <c r="D354" s="195">
        <v>6625.33</v>
      </c>
      <c r="F354" s="195">
        <v>2076.09</v>
      </c>
      <c r="G354" s="195">
        <v>2936.8</v>
      </c>
      <c r="H354" s="195">
        <v>3064.99</v>
      </c>
      <c r="I354" s="195">
        <v>7014.29</v>
      </c>
    </row>
    <row r="355" spans="1:9" x14ac:dyDescent="0.2">
      <c r="A355" s="193">
        <v>1413100220</v>
      </c>
      <c r="B355" s="193" t="s">
        <v>0</v>
      </c>
    </row>
    <row r="356" spans="1:9" x14ac:dyDescent="0.2">
      <c r="A356" s="193">
        <v>1413100221</v>
      </c>
      <c r="B356" s="193" t="s">
        <v>343</v>
      </c>
      <c r="C356" s="195">
        <v>2000</v>
      </c>
      <c r="D356" s="195">
        <v>595.9</v>
      </c>
      <c r="E356" s="195">
        <v>2000</v>
      </c>
      <c r="F356" s="195">
        <v>2279.6999999999998</v>
      </c>
      <c r="G356" s="195">
        <v>5033.1099999999997</v>
      </c>
      <c r="H356" s="195">
        <v>2794.07</v>
      </c>
      <c r="I356" s="195">
        <v>4351.03</v>
      </c>
    </row>
    <row r="357" spans="1:9" x14ac:dyDescent="0.2">
      <c r="A357" s="193">
        <v>1413200220</v>
      </c>
      <c r="B357" s="193" t="s">
        <v>1</v>
      </c>
      <c r="C357" s="195">
        <v>10000</v>
      </c>
      <c r="D357" s="195">
        <v>3536.14</v>
      </c>
      <c r="E357" s="195">
        <v>10000</v>
      </c>
      <c r="F357" s="195">
        <v>1313494.6000000001</v>
      </c>
      <c r="G357" s="195">
        <v>1633772.74</v>
      </c>
      <c r="H357" s="195">
        <v>1740724.37</v>
      </c>
      <c r="I357" s="195">
        <v>6728.38</v>
      </c>
    </row>
    <row r="358" spans="1:9" x14ac:dyDescent="0.2">
      <c r="A358" s="193">
        <v>1413300220</v>
      </c>
      <c r="B358" s="193" t="s">
        <v>2</v>
      </c>
    </row>
    <row r="359" spans="1:9" x14ac:dyDescent="0.2">
      <c r="A359" s="193">
        <v>1433000215</v>
      </c>
      <c r="B359" s="193" t="s">
        <v>344</v>
      </c>
      <c r="C359" s="195">
        <v>30000</v>
      </c>
      <c r="D359" s="195">
        <v>19565.900000000001</v>
      </c>
      <c r="E359" s="195">
        <v>41000</v>
      </c>
      <c r="F359" s="195">
        <v>22150.92</v>
      </c>
      <c r="G359" s="195">
        <v>29404.1</v>
      </c>
      <c r="H359" s="195">
        <v>78819.7</v>
      </c>
      <c r="I359" s="195">
        <v>27686</v>
      </c>
    </row>
    <row r="360" spans="1:9" x14ac:dyDescent="0.2">
      <c r="A360" s="193">
        <v>1433000610</v>
      </c>
      <c r="B360" s="193" t="s">
        <v>3</v>
      </c>
    </row>
    <row r="361" spans="1:9" x14ac:dyDescent="0.2">
      <c r="A361" s="193">
        <v>1433000641</v>
      </c>
      <c r="B361" s="193" t="s">
        <v>345</v>
      </c>
      <c r="C361" s="195">
        <v>300000</v>
      </c>
      <c r="D361" s="195">
        <v>277574.7</v>
      </c>
      <c r="E361" s="195">
        <v>240000</v>
      </c>
      <c r="F361" s="195">
        <v>282611.5</v>
      </c>
      <c r="G361" s="195">
        <v>1548291.29</v>
      </c>
      <c r="H361" s="195">
        <v>774597.41</v>
      </c>
      <c r="I361" s="195">
        <v>98449.7</v>
      </c>
    </row>
    <row r="362" spans="1:9" x14ac:dyDescent="0.2">
      <c r="A362" s="193">
        <v>1433000642</v>
      </c>
      <c r="B362" s="193" t="s">
        <v>346</v>
      </c>
      <c r="C362" s="195">
        <v>1292153</v>
      </c>
      <c r="D362" s="195">
        <v>888179.37</v>
      </c>
      <c r="E362" s="195">
        <v>1292153</v>
      </c>
      <c r="F362" s="195">
        <v>1309232.8999999999</v>
      </c>
      <c r="G362" s="195">
        <v>58793.99</v>
      </c>
      <c r="H362" s="195">
        <v>543917.71</v>
      </c>
      <c r="I362" s="195">
        <v>755738.27</v>
      </c>
    </row>
    <row r="363" spans="1:9" x14ac:dyDescent="0.2">
      <c r="A363" s="193">
        <v>1433000643</v>
      </c>
      <c r="B363" s="193" t="s">
        <v>1110</v>
      </c>
    </row>
    <row r="364" spans="1:9" x14ac:dyDescent="0.2">
      <c r="A364" s="193">
        <v>1433000644</v>
      </c>
      <c r="B364" s="193" t="s">
        <v>347</v>
      </c>
      <c r="C364" s="195">
        <v>330000</v>
      </c>
      <c r="D364" s="195">
        <v>227094.63</v>
      </c>
      <c r="E364" s="195">
        <v>330000</v>
      </c>
      <c r="F364" s="195">
        <v>301911.18</v>
      </c>
      <c r="G364" s="195">
        <v>224285.45</v>
      </c>
      <c r="H364" s="195">
        <v>398219</v>
      </c>
    </row>
    <row r="365" spans="1:9" x14ac:dyDescent="0.2">
      <c r="A365" s="193">
        <v>1433000645</v>
      </c>
      <c r="B365" s="193" t="s">
        <v>4</v>
      </c>
    </row>
    <row r="366" spans="1:9" x14ac:dyDescent="0.2">
      <c r="A366" s="193">
        <v>1437000215</v>
      </c>
      <c r="B366" s="193" t="s">
        <v>348</v>
      </c>
      <c r="C366" s="195">
        <v>85000</v>
      </c>
      <c r="D366" s="195">
        <v>59834.2</v>
      </c>
      <c r="E366" s="195">
        <v>85000</v>
      </c>
      <c r="F366" s="195">
        <v>85968.16</v>
      </c>
      <c r="G366" s="195">
        <v>42894.7</v>
      </c>
      <c r="H366" s="195">
        <v>578054.80000000005</v>
      </c>
      <c r="I366" s="195">
        <v>34457.839999999997</v>
      </c>
    </row>
    <row r="367" spans="1:9" x14ac:dyDescent="0.2">
      <c r="A367" s="193">
        <v>1437000640</v>
      </c>
      <c r="B367" s="193" t="s">
        <v>245</v>
      </c>
      <c r="C367" s="195">
        <v>370000</v>
      </c>
      <c r="D367" s="195">
        <v>168834.6</v>
      </c>
      <c r="E367" s="195">
        <v>370000</v>
      </c>
      <c r="F367" s="195">
        <v>301730.90000000002</v>
      </c>
      <c r="G367" s="195">
        <v>291260.09000000003</v>
      </c>
      <c r="H367" s="195">
        <v>389644.61</v>
      </c>
      <c r="I367" s="195">
        <v>45658.65</v>
      </c>
    </row>
    <row r="368" spans="1:9" x14ac:dyDescent="0.2">
      <c r="A368" s="193">
        <v>1437000641</v>
      </c>
      <c r="B368" s="193" t="s">
        <v>5</v>
      </c>
    </row>
    <row r="369" spans="1:9" x14ac:dyDescent="0.2">
      <c r="A369" s="193">
        <v>1439000663</v>
      </c>
      <c r="B369" s="193" t="s">
        <v>1206</v>
      </c>
      <c r="I369" s="195">
        <v>52558</v>
      </c>
    </row>
    <row r="370" spans="1:9" x14ac:dyDescent="0.2">
      <c r="A370" s="193">
        <v>1439000690</v>
      </c>
      <c r="B370" s="193" t="s">
        <v>6</v>
      </c>
      <c r="C370" s="195">
        <v>3000</v>
      </c>
      <c r="D370" s="195">
        <v>2500</v>
      </c>
      <c r="E370" s="195">
        <v>13500</v>
      </c>
      <c r="F370" s="195">
        <v>13500</v>
      </c>
    </row>
    <row r="371" spans="1:9" x14ac:dyDescent="0.2">
      <c r="A371" s="193">
        <v>1443100212</v>
      </c>
      <c r="B371" s="193" t="s">
        <v>7</v>
      </c>
    </row>
    <row r="372" spans="1:9" x14ac:dyDescent="0.2">
      <c r="A372" s="193">
        <v>1443100220</v>
      </c>
      <c r="B372" s="193" t="s">
        <v>350</v>
      </c>
      <c r="C372" s="195">
        <v>10000</v>
      </c>
      <c r="D372" s="195">
        <v>24851.5</v>
      </c>
      <c r="E372" s="195">
        <v>10000</v>
      </c>
      <c r="F372" s="195">
        <v>6870</v>
      </c>
      <c r="G372" s="195">
        <v>500</v>
      </c>
    </row>
    <row r="373" spans="1:9" x14ac:dyDescent="0.2">
      <c r="A373" s="193">
        <v>1443100290</v>
      </c>
      <c r="B373" s="193" t="s">
        <v>351</v>
      </c>
      <c r="C373" s="195">
        <v>3500000</v>
      </c>
      <c r="D373" s="195">
        <v>2200484.9700000002</v>
      </c>
      <c r="E373" s="195">
        <v>3400000</v>
      </c>
      <c r="F373" s="195">
        <v>3122196.64</v>
      </c>
      <c r="G373" s="195">
        <v>3157117.29</v>
      </c>
      <c r="H373" s="195">
        <v>3016316.77</v>
      </c>
      <c r="I373" s="195">
        <v>1961283.03</v>
      </c>
    </row>
    <row r="374" spans="1:9" x14ac:dyDescent="0.2">
      <c r="A374" s="193">
        <v>1443100291</v>
      </c>
      <c r="B374" s="193" t="s">
        <v>352</v>
      </c>
      <c r="C374" s="195">
        <v>180000</v>
      </c>
      <c r="D374" s="195">
        <v>103221.16</v>
      </c>
      <c r="E374" s="195">
        <v>180000</v>
      </c>
      <c r="F374" s="195">
        <v>159156.41</v>
      </c>
      <c r="G374" s="195">
        <v>95199.4</v>
      </c>
      <c r="H374" s="195">
        <v>91842.57</v>
      </c>
      <c r="I374" s="195">
        <v>36403</v>
      </c>
    </row>
    <row r="375" spans="1:9" x14ac:dyDescent="0.2">
      <c r="A375" s="193">
        <v>1443100292</v>
      </c>
      <c r="B375" s="193" t="s">
        <v>353</v>
      </c>
      <c r="C375" s="195">
        <v>350000</v>
      </c>
      <c r="D375" s="195">
        <v>216914.19</v>
      </c>
      <c r="E375" s="195">
        <v>530000</v>
      </c>
      <c r="F375" s="195">
        <v>594694.61</v>
      </c>
      <c r="G375" s="195">
        <v>1095051.6200000001</v>
      </c>
      <c r="H375" s="195">
        <v>592500.56999999995</v>
      </c>
      <c r="I375" s="195">
        <v>242040.28</v>
      </c>
    </row>
    <row r="376" spans="1:9" x14ac:dyDescent="0.2">
      <c r="A376" s="193">
        <v>1443100293</v>
      </c>
      <c r="B376" s="193" t="s">
        <v>354</v>
      </c>
      <c r="C376" s="195">
        <v>1167143</v>
      </c>
      <c r="D376" s="195">
        <v>794572.4</v>
      </c>
      <c r="E376" s="195">
        <v>1167143</v>
      </c>
      <c r="F376" s="195">
        <v>1043986.9</v>
      </c>
      <c r="G376" s="195">
        <v>936758</v>
      </c>
      <c r="H376" s="195">
        <v>929550</v>
      </c>
      <c r="I376" s="195">
        <v>838665.8</v>
      </c>
    </row>
    <row r="377" spans="1:9" x14ac:dyDescent="0.2">
      <c r="A377" s="193">
        <v>1443100295</v>
      </c>
      <c r="B377" s="193" t="s">
        <v>1162</v>
      </c>
      <c r="C377" s="195">
        <v>465000</v>
      </c>
      <c r="D377" s="195">
        <v>233479.96</v>
      </c>
      <c r="E377" s="195">
        <v>465000</v>
      </c>
      <c r="F377" s="195">
        <v>433936.74</v>
      </c>
      <c r="G377" s="195">
        <v>359408.63</v>
      </c>
      <c r="H377" s="195">
        <v>290308.96999999997</v>
      </c>
      <c r="I377" s="195">
        <v>227887.99</v>
      </c>
    </row>
    <row r="378" spans="1:9" x14ac:dyDescent="0.2">
      <c r="A378" s="193">
        <v>1443100296</v>
      </c>
      <c r="B378" s="193" t="s">
        <v>1535</v>
      </c>
      <c r="C378" s="195">
        <v>150000</v>
      </c>
      <c r="D378" s="195">
        <v>169793.2</v>
      </c>
      <c r="E378" s="195">
        <v>150000</v>
      </c>
    </row>
    <row r="379" spans="1:9" x14ac:dyDescent="0.2">
      <c r="A379" s="193">
        <v>1443100297</v>
      </c>
      <c r="B379" s="193" t="s">
        <v>1534</v>
      </c>
      <c r="C379" s="195">
        <v>15000</v>
      </c>
      <c r="D379" s="195">
        <v>4431.7299999999996</v>
      </c>
    </row>
    <row r="380" spans="1:9" x14ac:dyDescent="0.2">
      <c r="A380" s="193">
        <v>1444000490</v>
      </c>
      <c r="B380" s="193" t="s">
        <v>356</v>
      </c>
      <c r="C380" s="195">
        <v>30000</v>
      </c>
      <c r="D380" s="195">
        <v>17140</v>
      </c>
      <c r="E380" s="195">
        <v>45000</v>
      </c>
      <c r="F380" s="195">
        <v>30750</v>
      </c>
      <c r="G380" s="195">
        <v>27264</v>
      </c>
      <c r="H380" s="195">
        <v>37536</v>
      </c>
    </row>
    <row r="381" spans="1:9" x14ac:dyDescent="0.2">
      <c r="A381" s="193">
        <v>1472000210</v>
      </c>
      <c r="B381" s="193" t="s">
        <v>8</v>
      </c>
    </row>
    <row r="382" spans="1:9" x14ac:dyDescent="0.2">
      <c r="A382" s="193">
        <v>1472000212</v>
      </c>
      <c r="B382" s="193" t="s">
        <v>357</v>
      </c>
      <c r="C382" s="195">
        <v>150000</v>
      </c>
      <c r="D382" s="195">
        <v>100259.02</v>
      </c>
      <c r="E382" s="195">
        <v>280000</v>
      </c>
      <c r="F382" s="195">
        <v>228408.67</v>
      </c>
      <c r="G382" s="195">
        <v>294281.13</v>
      </c>
      <c r="H382" s="195">
        <v>512216.4</v>
      </c>
      <c r="I382" s="195">
        <v>383925.65</v>
      </c>
    </row>
    <row r="383" spans="1:9" x14ac:dyDescent="0.2">
      <c r="A383" s="193">
        <v>1472000213</v>
      </c>
      <c r="B383" s="193" t="s">
        <v>358</v>
      </c>
      <c r="G383" s="195">
        <v>2943000</v>
      </c>
      <c r="H383" s="195">
        <v>3451127.78</v>
      </c>
      <c r="I383" s="195">
        <v>1768376.08</v>
      </c>
    </row>
    <row r="384" spans="1:9" x14ac:dyDescent="0.2">
      <c r="A384" s="193">
        <v>1472000214</v>
      </c>
      <c r="B384" s="193" t="s">
        <v>9</v>
      </c>
    </row>
    <row r="385" spans="1:9" x14ac:dyDescent="0.2">
      <c r="A385" s="193">
        <v>1472000215</v>
      </c>
      <c r="B385" s="193" t="s">
        <v>359</v>
      </c>
      <c r="D385" s="195">
        <v>1184.4000000000001</v>
      </c>
      <c r="F385" s="195">
        <v>8366.2999999999993</v>
      </c>
      <c r="G385" s="195">
        <v>28103.05</v>
      </c>
      <c r="H385" s="195">
        <v>105</v>
      </c>
      <c r="I385" s="195">
        <v>534079.12</v>
      </c>
    </row>
    <row r="386" spans="1:9" x14ac:dyDescent="0.2">
      <c r="A386" s="193">
        <v>1472000990</v>
      </c>
      <c r="B386" s="193" t="s">
        <v>1209</v>
      </c>
      <c r="H386" s="195">
        <v>1351500</v>
      </c>
      <c r="I386" s="195">
        <v>1351500</v>
      </c>
    </row>
    <row r="387" spans="1:9" x14ac:dyDescent="0.2">
      <c r="A387" s="193">
        <v>1570000920</v>
      </c>
      <c r="B387" s="193" t="s">
        <v>71</v>
      </c>
      <c r="G387" s="195">
        <v>530000</v>
      </c>
    </row>
    <row r="388" spans="1:9" x14ac:dyDescent="0.2">
      <c r="A388" s="193">
        <v>1571000920</v>
      </c>
      <c r="B388" s="193" t="s">
        <v>97</v>
      </c>
    </row>
    <row r="389" spans="1:9" x14ac:dyDescent="0.2">
      <c r="A389" s="193">
        <v>1594000590</v>
      </c>
      <c r="B389" s="193" t="s">
        <v>1212</v>
      </c>
      <c r="D389" s="195">
        <v>75606.09</v>
      </c>
      <c r="F389" s="195">
        <v>209774.31</v>
      </c>
      <c r="G389" s="195">
        <v>919280.68</v>
      </c>
      <c r="H389" s="195">
        <v>2889724.2</v>
      </c>
      <c r="I389" s="195">
        <v>369052.01</v>
      </c>
    </row>
    <row r="390" spans="1:9" x14ac:dyDescent="0.2">
      <c r="A390" s="193">
        <v>1594000591</v>
      </c>
      <c r="B390" s="193" t="s">
        <v>10</v>
      </c>
      <c r="F390" s="195">
        <v>2</v>
      </c>
    </row>
    <row r="391" spans="1:9" x14ac:dyDescent="0.2">
      <c r="A391" s="193">
        <v>1594100590</v>
      </c>
      <c r="B391" s="193" t="s">
        <v>1213</v>
      </c>
      <c r="D391" s="195">
        <v>2189248.04</v>
      </c>
      <c r="E391" s="195">
        <v>5144890</v>
      </c>
      <c r="H391" s="195">
        <v>5606</v>
      </c>
      <c r="I391" s="195">
        <v>5494161</v>
      </c>
    </row>
    <row r="392" spans="1:9" x14ac:dyDescent="0.2">
      <c r="A392" s="193">
        <v>1594101590</v>
      </c>
      <c r="B392" s="193" t="s">
        <v>11</v>
      </c>
      <c r="C392" s="195">
        <v>500000</v>
      </c>
      <c r="E392" s="195">
        <v>500000</v>
      </c>
    </row>
    <row r="393" spans="1:9" x14ac:dyDescent="0.2">
      <c r="A393" s="193">
        <v>1594200590</v>
      </c>
      <c r="B393" s="193" t="s">
        <v>12</v>
      </c>
    </row>
    <row r="394" spans="1:9" x14ac:dyDescent="0.2">
      <c r="A394" s="193">
        <v>1599000980</v>
      </c>
      <c r="B394" s="193" t="s">
        <v>1214</v>
      </c>
      <c r="D394" s="195">
        <v>3105299</v>
      </c>
      <c r="F394" s="195">
        <v>3894701</v>
      </c>
      <c r="I394" s="195">
        <v>2000000</v>
      </c>
    </row>
    <row r="395" spans="1:9" x14ac:dyDescent="0.2">
      <c r="A395" s="193">
        <v>1599100910</v>
      </c>
      <c r="B395" s="193" t="s">
        <v>241</v>
      </c>
    </row>
    <row r="396" spans="1:9" s="194" customFormat="1" x14ac:dyDescent="0.2">
      <c r="C396" s="196">
        <f>SUM(C2:C395)</f>
        <v>336528135</v>
      </c>
      <c r="D396" s="196">
        <f t="shared" ref="D396:I396" si="0">SUM(D2:D395)</f>
        <v>241730488.23999995</v>
      </c>
      <c r="E396" s="196">
        <f t="shared" si="0"/>
        <v>354730102</v>
      </c>
      <c r="F396" s="196">
        <f t="shared" si="0"/>
        <v>341399402.04000002</v>
      </c>
      <c r="G396" s="196">
        <f t="shared" si="0"/>
        <v>338290306.20000029</v>
      </c>
      <c r="H396" s="196">
        <f t="shared" si="0"/>
        <v>318824005.44999981</v>
      </c>
      <c r="I396" s="196">
        <f t="shared" si="0"/>
        <v>256694398.34999999</v>
      </c>
    </row>
    <row r="397" spans="1:9" x14ac:dyDescent="0.2">
      <c r="A397" s="193">
        <v>1599999999</v>
      </c>
      <c r="B397" s="193" t="s">
        <v>98</v>
      </c>
    </row>
    <row r="398" spans="1:9" x14ac:dyDescent="0.2">
      <c r="A398" s="193">
        <v>1610000399</v>
      </c>
      <c r="B398" s="193" t="s">
        <v>24</v>
      </c>
    </row>
    <row r="399" spans="1:9" x14ac:dyDescent="0.2">
      <c r="A399" s="193">
        <v>1610000811</v>
      </c>
      <c r="B399" s="193" t="s">
        <v>242</v>
      </c>
    </row>
    <row r="400" spans="1:9" x14ac:dyDescent="0.2">
      <c r="A400" s="193">
        <v>1610000910</v>
      </c>
      <c r="B400" s="193" t="s">
        <v>704</v>
      </c>
    </row>
    <row r="401" spans="1:9" x14ac:dyDescent="0.2">
      <c r="A401" s="193">
        <v>1610000981</v>
      </c>
      <c r="B401" s="193" t="s">
        <v>73</v>
      </c>
      <c r="F401" s="195">
        <v>1092</v>
      </c>
    </row>
    <row r="402" spans="1:9" x14ac:dyDescent="0.2">
      <c r="A402" s="193">
        <v>1611000110</v>
      </c>
      <c r="B402" s="193" t="s">
        <v>511</v>
      </c>
      <c r="C402" s="195">
        <v>2088955</v>
      </c>
      <c r="D402" s="195">
        <v>1621782.66</v>
      </c>
      <c r="E402" s="195">
        <v>2088955</v>
      </c>
      <c r="F402" s="195">
        <v>2118892.25</v>
      </c>
      <c r="G402" s="195">
        <v>2027283</v>
      </c>
      <c r="H402" s="195">
        <v>1908512.15</v>
      </c>
      <c r="I402" s="195">
        <v>1552909.31</v>
      </c>
    </row>
    <row r="403" spans="1:9" x14ac:dyDescent="0.2">
      <c r="A403" s="193">
        <v>1611000210</v>
      </c>
      <c r="B403" s="193" t="s">
        <v>246</v>
      </c>
      <c r="D403" s="195">
        <v>1559.92</v>
      </c>
      <c r="F403" s="195">
        <v>50094.8</v>
      </c>
      <c r="G403" s="195">
        <v>8016.4</v>
      </c>
    </row>
    <row r="404" spans="1:9" x14ac:dyDescent="0.2">
      <c r="A404" s="193">
        <v>1611000511</v>
      </c>
      <c r="B404" s="193" t="s">
        <v>544</v>
      </c>
      <c r="C404" s="195">
        <v>70000</v>
      </c>
      <c r="D404" s="195">
        <v>26097.5</v>
      </c>
      <c r="E404" s="195">
        <v>70000</v>
      </c>
      <c r="F404" s="195">
        <v>55203.61</v>
      </c>
      <c r="G404" s="195">
        <v>47901.65</v>
      </c>
      <c r="H404" s="195">
        <v>52788.86</v>
      </c>
      <c r="I404" s="195">
        <v>40913.46</v>
      </c>
    </row>
    <row r="405" spans="1:9" x14ac:dyDescent="0.2">
      <c r="A405" s="193">
        <v>1611000512</v>
      </c>
      <c r="B405" s="193" t="s">
        <v>545</v>
      </c>
      <c r="C405" s="195">
        <v>6000</v>
      </c>
      <c r="D405" s="195">
        <v>704.7</v>
      </c>
      <c r="E405" s="195">
        <v>6000</v>
      </c>
      <c r="F405" s="195">
        <v>8241.42</v>
      </c>
      <c r="G405" s="195">
        <v>4994</v>
      </c>
      <c r="H405" s="195">
        <v>3256</v>
      </c>
      <c r="I405" s="195">
        <v>1844</v>
      </c>
    </row>
    <row r="406" spans="1:9" x14ac:dyDescent="0.2">
      <c r="A406" s="193">
        <v>1611000514</v>
      </c>
      <c r="B406" s="193" t="s">
        <v>546</v>
      </c>
      <c r="C406" s="195">
        <v>15000</v>
      </c>
      <c r="D406" s="195">
        <v>2265</v>
      </c>
      <c r="E406" s="195">
        <v>15000</v>
      </c>
      <c r="F406" s="195">
        <v>12372</v>
      </c>
      <c r="G406" s="195">
        <v>9890</v>
      </c>
      <c r="H406" s="195">
        <v>5113</v>
      </c>
      <c r="I406" s="195">
        <v>5649.99</v>
      </c>
    </row>
    <row r="407" spans="1:9" x14ac:dyDescent="0.2">
      <c r="A407" s="193">
        <v>1611000521</v>
      </c>
      <c r="B407" s="193" t="s">
        <v>547</v>
      </c>
      <c r="C407" s="195">
        <v>26000</v>
      </c>
      <c r="D407" s="195">
        <v>5780</v>
      </c>
      <c r="E407" s="195">
        <v>26000</v>
      </c>
      <c r="F407" s="195">
        <v>26000</v>
      </c>
      <c r="G407" s="195">
        <v>12316</v>
      </c>
      <c r="H407" s="195">
        <v>36937.4</v>
      </c>
      <c r="I407" s="195">
        <v>14586</v>
      </c>
    </row>
    <row r="408" spans="1:9" x14ac:dyDescent="0.2">
      <c r="A408" s="193">
        <v>1611000522</v>
      </c>
      <c r="B408" s="193" t="s">
        <v>548</v>
      </c>
      <c r="C408" s="195">
        <v>45000</v>
      </c>
      <c r="D408" s="195">
        <v>23561.759999999998</v>
      </c>
      <c r="E408" s="195">
        <v>45000</v>
      </c>
      <c r="F408" s="195">
        <v>45966.71</v>
      </c>
      <c r="G408" s="195">
        <v>28881.7</v>
      </c>
      <c r="H408" s="195">
        <v>25885.02</v>
      </c>
      <c r="I408" s="195">
        <v>25007.97</v>
      </c>
    </row>
    <row r="409" spans="1:9" x14ac:dyDescent="0.2">
      <c r="A409" s="193">
        <v>1611000523</v>
      </c>
      <c r="B409" s="193" t="s">
        <v>549</v>
      </c>
      <c r="C409" s="195">
        <v>4000</v>
      </c>
      <c r="D409" s="195">
        <v>3000</v>
      </c>
      <c r="E409" s="195">
        <v>4000</v>
      </c>
      <c r="F409" s="195">
        <v>4000</v>
      </c>
      <c r="G409" s="195">
        <v>3600</v>
      </c>
      <c r="H409" s="195">
        <v>1000</v>
      </c>
      <c r="I409" s="195">
        <v>2999.99</v>
      </c>
    </row>
    <row r="410" spans="1:9" x14ac:dyDescent="0.2">
      <c r="A410" s="193">
        <v>1611000530</v>
      </c>
      <c r="B410" s="193" t="s">
        <v>13</v>
      </c>
      <c r="D410" s="195">
        <v>69.09</v>
      </c>
    </row>
    <row r="411" spans="1:9" x14ac:dyDescent="0.2">
      <c r="A411" s="193">
        <v>1611000560</v>
      </c>
      <c r="B411" s="193" t="s">
        <v>550</v>
      </c>
      <c r="C411" s="195">
        <v>20000</v>
      </c>
      <c r="D411" s="195">
        <v>4280.01</v>
      </c>
      <c r="E411" s="195">
        <v>20000</v>
      </c>
      <c r="F411" s="195">
        <v>12605.43</v>
      </c>
      <c r="G411" s="195">
        <v>11932.2</v>
      </c>
      <c r="H411" s="195">
        <v>11826.74</v>
      </c>
      <c r="I411" s="195">
        <v>11604.4</v>
      </c>
    </row>
    <row r="412" spans="1:9" x14ac:dyDescent="0.2">
      <c r="A412" s="193">
        <v>1611000580</v>
      </c>
      <c r="B412" s="193" t="s">
        <v>551</v>
      </c>
      <c r="C412" s="195">
        <v>20000</v>
      </c>
      <c r="D412" s="195">
        <v>11338.34</v>
      </c>
      <c r="E412" s="195">
        <v>20000</v>
      </c>
      <c r="F412" s="195">
        <v>24582.19</v>
      </c>
      <c r="G412" s="195">
        <v>15211.87</v>
      </c>
      <c r="H412" s="195">
        <v>22315.07</v>
      </c>
      <c r="I412" s="195">
        <v>17285.95</v>
      </c>
    </row>
    <row r="413" spans="1:9" x14ac:dyDescent="0.2">
      <c r="A413" s="193">
        <v>1611000731</v>
      </c>
      <c r="B413" s="193" t="s">
        <v>14</v>
      </c>
    </row>
    <row r="414" spans="1:9" x14ac:dyDescent="0.2">
      <c r="A414" s="193">
        <v>1611000760</v>
      </c>
      <c r="B414" s="193" t="s">
        <v>552</v>
      </c>
      <c r="C414" s="195">
        <v>38000</v>
      </c>
      <c r="D414" s="195">
        <v>11042.43</v>
      </c>
      <c r="E414" s="195">
        <v>38000</v>
      </c>
      <c r="F414" s="195">
        <v>32018.26</v>
      </c>
      <c r="G414" s="195">
        <v>32696.17</v>
      </c>
      <c r="H414" s="195">
        <v>37590.720000000001</v>
      </c>
      <c r="I414" s="195">
        <v>18042.48</v>
      </c>
    </row>
    <row r="415" spans="1:9" x14ac:dyDescent="0.2">
      <c r="A415" s="193">
        <v>1611000780</v>
      </c>
      <c r="B415" s="193" t="s">
        <v>553</v>
      </c>
      <c r="C415" s="195">
        <v>35000</v>
      </c>
      <c r="D415" s="195">
        <v>17097.43</v>
      </c>
      <c r="E415" s="195">
        <v>35000</v>
      </c>
      <c r="F415" s="195">
        <v>28686</v>
      </c>
      <c r="G415" s="195">
        <v>18587.7</v>
      </c>
      <c r="H415" s="195">
        <v>30189.27</v>
      </c>
      <c r="I415" s="195">
        <v>25564.560000000001</v>
      </c>
    </row>
    <row r="416" spans="1:9" x14ac:dyDescent="0.2">
      <c r="A416" s="193">
        <v>1611000930</v>
      </c>
      <c r="B416" s="193" t="s">
        <v>554</v>
      </c>
      <c r="C416" s="195">
        <v>25000</v>
      </c>
      <c r="D416" s="195">
        <v>9994.6</v>
      </c>
      <c r="E416" s="195">
        <v>25000</v>
      </c>
      <c r="F416" s="195">
        <v>18790.75</v>
      </c>
      <c r="G416" s="195">
        <v>11785</v>
      </c>
      <c r="H416" s="195">
        <v>16194</v>
      </c>
      <c r="I416" s="195">
        <v>8979.68</v>
      </c>
    </row>
    <row r="417" spans="1:9" x14ac:dyDescent="0.2">
      <c r="A417" s="193">
        <v>1611000970</v>
      </c>
      <c r="B417" s="193" t="s">
        <v>555</v>
      </c>
      <c r="C417" s="195">
        <v>96000</v>
      </c>
      <c r="D417" s="195">
        <v>64000</v>
      </c>
      <c r="E417" s="195">
        <v>96000</v>
      </c>
      <c r="F417" s="195">
        <v>96000</v>
      </c>
      <c r="G417" s="195">
        <v>88000</v>
      </c>
      <c r="H417" s="195">
        <v>96000</v>
      </c>
      <c r="I417" s="195">
        <v>96000</v>
      </c>
    </row>
    <row r="418" spans="1:9" x14ac:dyDescent="0.2">
      <c r="A418" s="193">
        <v>1611000980</v>
      </c>
      <c r="B418" s="193" t="s">
        <v>556</v>
      </c>
      <c r="C418" s="195">
        <v>140000</v>
      </c>
      <c r="D418" s="195">
        <v>64465.56</v>
      </c>
      <c r="E418" s="195">
        <v>140000</v>
      </c>
      <c r="F418" s="195">
        <v>142613.28</v>
      </c>
      <c r="G418" s="195">
        <v>118873.62</v>
      </c>
      <c r="H418" s="195">
        <v>261708.94</v>
      </c>
      <c r="I418" s="195">
        <v>260712.54</v>
      </c>
    </row>
    <row r="419" spans="1:9" x14ac:dyDescent="0.2">
      <c r="A419" s="193">
        <v>1611001530</v>
      </c>
      <c r="B419" s="193" t="s">
        <v>15</v>
      </c>
      <c r="C419" s="195">
        <v>116000</v>
      </c>
      <c r="D419" s="195">
        <v>71336.12</v>
      </c>
      <c r="E419" s="195">
        <v>116000</v>
      </c>
      <c r="F419" s="195">
        <v>104660.24</v>
      </c>
    </row>
    <row r="420" spans="1:9" x14ac:dyDescent="0.2">
      <c r="A420" s="193">
        <v>1611001731</v>
      </c>
      <c r="B420" s="193" t="s">
        <v>1533</v>
      </c>
      <c r="F420" s="195">
        <v>1320.18</v>
      </c>
      <c r="G420" s="195">
        <v>123357.31</v>
      </c>
      <c r="H420" s="195">
        <v>105603.24</v>
      </c>
      <c r="I420" s="195">
        <v>124214.34</v>
      </c>
    </row>
    <row r="421" spans="1:9" x14ac:dyDescent="0.2">
      <c r="A421" s="193">
        <v>1611002731</v>
      </c>
      <c r="B421" s="193" t="s">
        <v>1532</v>
      </c>
      <c r="C421" s="195">
        <v>9194</v>
      </c>
      <c r="D421" s="195">
        <v>1019.08</v>
      </c>
      <c r="E421" s="195">
        <v>9194</v>
      </c>
    </row>
    <row r="422" spans="1:9" x14ac:dyDescent="0.2">
      <c r="A422" s="193">
        <v>1611100110</v>
      </c>
      <c r="B422" s="193" t="s">
        <v>512</v>
      </c>
      <c r="C422" s="195">
        <v>1855421</v>
      </c>
      <c r="D422" s="195">
        <v>1381839.4</v>
      </c>
      <c r="E422" s="195">
        <v>1855421</v>
      </c>
      <c r="F422" s="195">
        <v>1728063.45</v>
      </c>
      <c r="G422" s="195">
        <v>2227808.89</v>
      </c>
      <c r="H422" s="195">
        <v>1763755.01</v>
      </c>
      <c r="I422" s="195">
        <v>1734066.02</v>
      </c>
    </row>
    <row r="423" spans="1:9" x14ac:dyDescent="0.2">
      <c r="A423" s="193">
        <v>1611100441</v>
      </c>
      <c r="B423" s="193" t="s">
        <v>558</v>
      </c>
      <c r="C423" s="195">
        <v>60000</v>
      </c>
      <c r="D423" s="195">
        <v>60000</v>
      </c>
      <c r="E423" s="195">
        <v>60000</v>
      </c>
      <c r="F423" s="195">
        <v>57075</v>
      </c>
      <c r="G423" s="195">
        <v>45415</v>
      </c>
      <c r="H423" s="195">
        <v>21127</v>
      </c>
      <c r="I423" s="195">
        <v>20450</v>
      </c>
    </row>
    <row r="424" spans="1:9" x14ac:dyDescent="0.2">
      <c r="A424" s="193">
        <v>1611100530</v>
      </c>
      <c r="B424" s="193" t="s">
        <v>99</v>
      </c>
      <c r="C424" s="195">
        <v>75000</v>
      </c>
      <c r="D424" s="195">
        <v>54430.42</v>
      </c>
      <c r="E424" s="195">
        <v>75000</v>
      </c>
      <c r="F424" s="195">
        <v>95074.39</v>
      </c>
      <c r="G424" s="195">
        <v>77395.03</v>
      </c>
      <c r="H424" s="195">
        <v>66926.52</v>
      </c>
      <c r="I424" s="195">
        <v>71283.759999999995</v>
      </c>
    </row>
    <row r="425" spans="1:9" x14ac:dyDescent="0.2">
      <c r="A425" s="193">
        <v>1611100531</v>
      </c>
      <c r="B425" s="193" t="s">
        <v>16</v>
      </c>
      <c r="I425" s="195">
        <v>6100.8</v>
      </c>
    </row>
    <row r="426" spans="1:9" x14ac:dyDescent="0.2">
      <c r="A426" s="193">
        <v>1611120530</v>
      </c>
      <c r="B426" s="193" t="s">
        <v>100</v>
      </c>
      <c r="C426" s="195">
        <v>75000</v>
      </c>
      <c r="D426" s="195">
        <v>61713.72</v>
      </c>
      <c r="E426" s="195">
        <v>75000</v>
      </c>
      <c r="F426" s="195">
        <v>84471.16</v>
      </c>
      <c r="G426" s="195">
        <v>75756.09</v>
      </c>
      <c r="H426" s="195">
        <v>86368.56</v>
      </c>
      <c r="I426" s="195">
        <v>74810.27</v>
      </c>
    </row>
    <row r="427" spans="1:9" x14ac:dyDescent="0.2">
      <c r="A427" s="193">
        <v>1611130530</v>
      </c>
      <c r="B427" s="193" t="s">
        <v>17</v>
      </c>
      <c r="H427" s="195">
        <v>349.05</v>
      </c>
    </row>
    <row r="428" spans="1:9" x14ac:dyDescent="0.2">
      <c r="A428" s="193">
        <v>1611200530</v>
      </c>
      <c r="B428" s="193" t="s">
        <v>18</v>
      </c>
    </row>
    <row r="429" spans="1:9" x14ac:dyDescent="0.2">
      <c r="A429" s="193">
        <v>1612000110</v>
      </c>
      <c r="B429" s="193" t="s">
        <v>513</v>
      </c>
      <c r="C429" s="195">
        <v>572311</v>
      </c>
      <c r="D429" s="195">
        <v>416564.14</v>
      </c>
      <c r="E429" s="195">
        <v>572311</v>
      </c>
      <c r="F429" s="195">
        <v>396411.96</v>
      </c>
      <c r="G429" s="195">
        <v>171910.86</v>
      </c>
      <c r="H429" s="195">
        <v>573474.49</v>
      </c>
      <c r="I429" s="195">
        <v>542413.21</v>
      </c>
    </row>
    <row r="430" spans="1:9" x14ac:dyDescent="0.2">
      <c r="A430" s="193">
        <v>1612000440</v>
      </c>
      <c r="B430" s="193" t="s">
        <v>561</v>
      </c>
      <c r="C430" s="195">
        <v>17000</v>
      </c>
      <c r="D430" s="195">
        <v>19716</v>
      </c>
      <c r="E430" s="195">
        <v>17000</v>
      </c>
      <c r="F430" s="195">
        <v>17073</v>
      </c>
      <c r="G430" s="195">
        <v>12750</v>
      </c>
      <c r="H430" s="195">
        <v>8500</v>
      </c>
      <c r="I430" s="195">
        <v>13531.85</v>
      </c>
    </row>
    <row r="431" spans="1:9" x14ac:dyDescent="0.2">
      <c r="A431" s="193">
        <v>1612000511</v>
      </c>
      <c r="B431" s="193" t="s">
        <v>19</v>
      </c>
      <c r="C431" s="195">
        <v>1000</v>
      </c>
      <c r="D431" s="195">
        <v>1000</v>
      </c>
      <c r="E431" s="195">
        <v>1000</v>
      </c>
      <c r="F431" s="195">
        <v>1000</v>
      </c>
      <c r="G431" s="195">
        <v>504.27</v>
      </c>
    </row>
    <row r="432" spans="1:9" x14ac:dyDescent="0.2">
      <c r="A432" s="193">
        <v>1612000521</v>
      </c>
      <c r="B432" s="193" t="s">
        <v>562</v>
      </c>
      <c r="C432" s="195">
        <v>2500</v>
      </c>
      <c r="D432" s="195">
        <v>2600</v>
      </c>
      <c r="E432" s="195">
        <v>2500</v>
      </c>
      <c r="H432" s="195">
        <v>500</v>
      </c>
    </row>
    <row r="433" spans="1:9" x14ac:dyDescent="0.2">
      <c r="A433" s="193">
        <v>1612000522</v>
      </c>
      <c r="B433" s="193" t="s">
        <v>563</v>
      </c>
      <c r="C433" s="195">
        <v>2000</v>
      </c>
      <c r="E433" s="195">
        <v>2000</v>
      </c>
      <c r="F433" s="195">
        <v>2850</v>
      </c>
      <c r="H433" s="195">
        <v>2000</v>
      </c>
      <c r="I433" s="195">
        <v>2901.6</v>
      </c>
    </row>
    <row r="434" spans="1:9" x14ac:dyDescent="0.2">
      <c r="A434" s="193">
        <v>1612000523</v>
      </c>
      <c r="B434" s="193" t="s">
        <v>564</v>
      </c>
      <c r="C434" s="195">
        <v>900</v>
      </c>
      <c r="D434" s="195">
        <v>1000</v>
      </c>
      <c r="E434" s="195">
        <v>900</v>
      </c>
      <c r="F434" s="195">
        <v>295</v>
      </c>
      <c r="I434" s="195">
        <v>399</v>
      </c>
    </row>
    <row r="435" spans="1:9" x14ac:dyDescent="0.2">
      <c r="A435" s="193">
        <v>1612000530</v>
      </c>
      <c r="B435" s="193" t="s">
        <v>1531</v>
      </c>
      <c r="C435" s="195">
        <v>75000</v>
      </c>
      <c r="D435" s="195">
        <v>50133.94</v>
      </c>
      <c r="E435" s="195">
        <v>75000</v>
      </c>
      <c r="F435" s="195">
        <v>37474.94</v>
      </c>
      <c r="G435" s="195">
        <v>14117.42</v>
      </c>
      <c r="H435" s="195">
        <v>85425.06</v>
      </c>
      <c r="I435" s="195">
        <v>81071.44</v>
      </c>
    </row>
    <row r="436" spans="1:9" x14ac:dyDescent="0.2">
      <c r="A436" s="193">
        <v>1612000560</v>
      </c>
      <c r="B436" s="193" t="s">
        <v>566</v>
      </c>
      <c r="C436" s="195">
        <v>1500</v>
      </c>
      <c r="D436" s="195">
        <v>464.98</v>
      </c>
      <c r="E436" s="195">
        <v>1500</v>
      </c>
      <c r="F436" s="195">
        <v>1872.52</v>
      </c>
      <c r="G436" s="195">
        <v>2281.2399999999998</v>
      </c>
      <c r="H436" s="195">
        <v>1692.56</v>
      </c>
      <c r="I436" s="195">
        <v>1565.55</v>
      </c>
    </row>
    <row r="437" spans="1:9" x14ac:dyDescent="0.2">
      <c r="A437" s="193">
        <v>1612000780</v>
      </c>
      <c r="B437" s="193" t="s">
        <v>567</v>
      </c>
      <c r="C437" s="195">
        <v>10000</v>
      </c>
      <c r="D437" s="195">
        <v>5513</v>
      </c>
      <c r="E437" s="195">
        <v>10000</v>
      </c>
      <c r="F437" s="195">
        <v>16170</v>
      </c>
      <c r="G437" s="195">
        <v>504.27</v>
      </c>
      <c r="H437" s="195">
        <v>873.75</v>
      </c>
    </row>
    <row r="438" spans="1:9" x14ac:dyDescent="0.2">
      <c r="A438" s="193">
        <v>1612000930</v>
      </c>
      <c r="B438" s="193" t="s">
        <v>568</v>
      </c>
      <c r="H438" s="195">
        <v>620</v>
      </c>
    </row>
    <row r="439" spans="1:9" x14ac:dyDescent="0.2">
      <c r="A439" s="193">
        <v>1613000110</v>
      </c>
      <c r="B439" s="193" t="s">
        <v>514</v>
      </c>
      <c r="C439" s="195">
        <v>1209676</v>
      </c>
      <c r="D439" s="195">
        <v>935550.98</v>
      </c>
      <c r="E439" s="195">
        <v>1209676</v>
      </c>
      <c r="F439" s="195">
        <v>1222486.58</v>
      </c>
      <c r="G439" s="195">
        <v>1157788.47</v>
      </c>
      <c r="H439" s="195">
        <v>1141230.6100000001</v>
      </c>
      <c r="I439" s="195">
        <v>1147631.3999999999</v>
      </c>
    </row>
    <row r="440" spans="1:9" x14ac:dyDescent="0.2">
      <c r="A440" s="193">
        <v>1613000440</v>
      </c>
      <c r="B440" s="193" t="s">
        <v>558</v>
      </c>
      <c r="C440" s="195">
        <v>25800</v>
      </c>
      <c r="D440" s="195">
        <v>19716</v>
      </c>
      <c r="E440" s="195">
        <v>25800</v>
      </c>
      <c r="F440" s="195">
        <v>29114.66</v>
      </c>
      <c r="G440" s="195">
        <v>16672.5</v>
      </c>
      <c r="H440" s="195">
        <v>12900</v>
      </c>
      <c r="I440" s="195">
        <v>18583.919999999998</v>
      </c>
    </row>
    <row r="441" spans="1:9" x14ac:dyDescent="0.2">
      <c r="A441" s="193">
        <v>1613000470</v>
      </c>
      <c r="B441" s="193" t="s">
        <v>569</v>
      </c>
      <c r="C441" s="195">
        <v>2000</v>
      </c>
      <c r="E441" s="195">
        <v>2000</v>
      </c>
      <c r="F441" s="195">
        <v>2000</v>
      </c>
      <c r="G441" s="195">
        <v>400</v>
      </c>
      <c r="H441" s="195">
        <v>300</v>
      </c>
    </row>
    <row r="442" spans="1:9" x14ac:dyDescent="0.2">
      <c r="A442" s="193">
        <v>1613000512</v>
      </c>
      <c r="B442" s="193" t="s">
        <v>570</v>
      </c>
    </row>
    <row r="443" spans="1:9" x14ac:dyDescent="0.2">
      <c r="A443" s="193">
        <v>1613000520</v>
      </c>
      <c r="B443" s="193" t="s">
        <v>571</v>
      </c>
      <c r="C443" s="195">
        <v>3000</v>
      </c>
      <c r="D443" s="195">
        <v>2618</v>
      </c>
      <c r="E443" s="195">
        <v>3000</v>
      </c>
      <c r="F443" s="195">
        <v>2635.1</v>
      </c>
      <c r="G443" s="195">
        <v>1999</v>
      </c>
      <c r="H443" s="195">
        <v>1704</v>
      </c>
      <c r="I443" s="195">
        <v>1704</v>
      </c>
    </row>
    <row r="444" spans="1:9" x14ac:dyDescent="0.2">
      <c r="A444" s="193">
        <v>1613000521</v>
      </c>
      <c r="B444" s="193" t="s">
        <v>572</v>
      </c>
      <c r="C444" s="195">
        <v>5000</v>
      </c>
      <c r="D444" s="195">
        <v>5000</v>
      </c>
      <c r="E444" s="195">
        <v>5000</v>
      </c>
      <c r="F444" s="195">
        <v>7316</v>
      </c>
      <c r="G444" s="195">
        <v>3000</v>
      </c>
      <c r="H444" s="195">
        <v>4974</v>
      </c>
      <c r="I444" s="195">
        <v>5133.2700000000004</v>
      </c>
    </row>
    <row r="445" spans="1:9" x14ac:dyDescent="0.2">
      <c r="A445" s="193">
        <v>1613000522</v>
      </c>
      <c r="B445" s="193" t="s">
        <v>573</v>
      </c>
      <c r="C445" s="195">
        <v>5000</v>
      </c>
      <c r="D445" s="195">
        <v>5490</v>
      </c>
      <c r="E445" s="195">
        <v>5000</v>
      </c>
      <c r="F445" s="195">
        <v>5024.72</v>
      </c>
      <c r="G445" s="195">
        <v>4767.5</v>
      </c>
      <c r="H445" s="195">
        <v>2270</v>
      </c>
      <c r="I445" s="195">
        <v>4999.79</v>
      </c>
    </row>
    <row r="446" spans="1:9" x14ac:dyDescent="0.2">
      <c r="A446" s="193">
        <v>1613000523</v>
      </c>
      <c r="B446" s="193" t="s">
        <v>574</v>
      </c>
      <c r="C446" s="195">
        <v>2500</v>
      </c>
      <c r="D446" s="195">
        <v>1500</v>
      </c>
      <c r="E446" s="195">
        <v>2500</v>
      </c>
      <c r="F446" s="195">
        <v>1750</v>
      </c>
      <c r="G446" s="195">
        <v>1500</v>
      </c>
      <c r="H446" s="195">
        <v>1850</v>
      </c>
      <c r="I446" s="195">
        <v>1500</v>
      </c>
    </row>
    <row r="447" spans="1:9" x14ac:dyDescent="0.2">
      <c r="A447" s="193">
        <v>1613000530</v>
      </c>
      <c r="B447" s="193" t="s">
        <v>101</v>
      </c>
      <c r="C447" s="195">
        <v>75000</v>
      </c>
      <c r="D447" s="195">
        <v>47751.95</v>
      </c>
      <c r="E447" s="195">
        <v>75000</v>
      </c>
      <c r="F447" s="195">
        <v>74078.59</v>
      </c>
      <c r="G447" s="195">
        <v>70745.63</v>
      </c>
      <c r="H447" s="195">
        <v>80112.990000000005</v>
      </c>
      <c r="I447" s="195">
        <v>103979.04</v>
      </c>
    </row>
    <row r="448" spans="1:9" x14ac:dyDescent="0.2">
      <c r="A448" s="193">
        <v>1613000560</v>
      </c>
      <c r="B448" s="193" t="s">
        <v>576</v>
      </c>
      <c r="C448" s="195">
        <v>12000</v>
      </c>
      <c r="D448" s="195">
        <v>7037.53</v>
      </c>
      <c r="E448" s="195">
        <v>12000</v>
      </c>
      <c r="F448" s="195">
        <v>11777.86</v>
      </c>
      <c r="G448" s="195">
        <v>17089.87</v>
      </c>
      <c r="H448" s="195">
        <v>9690.5</v>
      </c>
      <c r="I448" s="195">
        <v>7584.31</v>
      </c>
    </row>
    <row r="449" spans="1:9" x14ac:dyDescent="0.2">
      <c r="A449" s="193">
        <v>1613000570</v>
      </c>
      <c r="B449" s="193" t="s">
        <v>20</v>
      </c>
    </row>
    <row r="450" spans="1:9" x14ac:dyDescent="0.2">
      <c r="A450" s="193">
        <v>1613000580</v>
      </c>
      <c r="B450" s="193" t="s">
        <v>577</v>
      </c>
      <c r="C450" s="195">
        <v>12000</v>
      </c>
      <c r="D450" s="195">
        <v>6500.21</v>
      </c>
      <c r="E450" s="195">
        <v>12000</v>
      </c>
      <c r="F450" s="195">
        <v>11927.44</v>
      </c>
      <c r="G450" s="195">
        <v>15848.99</v>
      </c>
      <c r="H450" s="195">
        <v>2402.29</v>
      </c>
      <c r="I450" s="195">
        <v>5519.2</v>
      </c>
    </row>
    <row r="451" spans="1:9" x14ac:dyDescent="0.2">
      <c r="A451" s="193">
        <v>1613000810</v>
      </c>
      <c r="B451" s="193" t="s">
        <v>578</v>
      </c>
      <c r="C451" s="195">
        <v>140000</v>
      </c>
      <c r="D451" s="195">
        <v>80000</v>
      </c>
      <c r="E451" s="195">
        <v>140000</v>
      </c>
      <c r="F451" s="195">
        <v>140000</v>
      </c>
      <c r="G451" s="195">
        <v>140000</v>
      </c>
      <c r="H451" s="195">
        <v>30000</v>
      </c>
      <c r="I451" s="195">
        <v>44200</v>
      </c>
    </row>
    <row r="452" spans="1:9" x14ac:dyDescent="0.2">
      <c r="A452" s="193">
        <v>1613000930</v>
      </c>
      <c r="B452" s="193" t="s">
        <v>579</v>
      </c>
      <c r="C452" s="195">
        <v>18000</v>
      </c>
      <c r="D452" s="195">
        <v>2248.8000000000002</v>
      </c>
      <c r="E452" s="195">
        <v>18000</v>
      </c>
      <c r="F452" s="195">
        <v>18959.400000000001</v>
      </c>
      <c r="G452" s="195">
        <v>14882.91</v>
      </c>
      <c r="H452" s="195">
        <v>17021</v>
      </c>
      <c r="I452" s="195">
        <v>15908.05</v>
      </c>
    </row>
    <row r="453" spans="1:9" x14ac:dyDescent="0.2">
      <c r="A453" s="193">
        <v>1613000980</v>
      </c>
      <c r="B453" s="193" t="s">
        <v>580</v>
      </c>
      <c r="C453" s="195">
        <v>35000</v>
      </c>
      <c r="D453" s="195">
        <v>31110.38</v>
      </c>
      <c r="E453" s="195">
        <v>35000</v>
      </c>
      <c r="F453" s="195">
        <v>38000.199999999997</v>
      </c>
      <c r="G453" s="195">
        <v>35172.699999999997</v>
      </c>
      <c r="H453" s="195">
        <v>27348.32</v>
      </c>
      <c r="I453" s="195">
        <v>25149.41</v>
      </c>
    </row>
    <row r="454" spans="1:9" x14ac:dyDescent="0.2">
      <c r="A454" s="193">
        <v>1613000981</v>
      </c>
      <c r="B454" s="193" t="s">
        <v>74</v>
      </c>
    </row>
    <row r="455" spans="1:9" x14ac:dyDescent="0.2">
      <c r="A455" s="193">
        <v>1614000110</v>
      </c>
      <c r="B455" s="193" t="s">
        <v>515</v>
      </c>
      <c r="C455" s="195">
        <v>631075</v>
      </c>
      <c r="D455" s="195">
        <v>503776.53</v>
      </c>
      <c r="E455" s="195">
        <v>631075</v>
      </c>
      <c r="F455" s="195">
        <v>625139.03</v>
      </c>
      <c r="G455" s="195">
        <v>489997.43</v>
      </c>
      <c r="H455" s="195">
        <v>457366.54</v>
      </c>
      <c r="I455" s="195">
        <v>358772.37</v>
      </c>
    </row>
    <row r="456" spans="1:9" x14ac:dyDescent="0.2">
      <c r="A456" s="193">
        <v>1614000470</v>
      </c>
      <c r="B456" s="193" t="s">
        <v>581</v>
      </c>
      <c r="C456" s="195">
        <v>1000</v>
      </c>
      <c r="D456" s="195">
        <v>297.3</v>
      </c>
      <c r="E456" s="195">
        <v>1000</v>
      </c>
      <c r="F456" s="195">
        <v>134.19999999999999</v>
      </c>
      <c r="G456" s="195">
        <v>926.36</v>
      </c>
      <c r="H456" s="195">
        <v>1000</v>
      </c>
      <c r="I456" s="195">
        <v>1040.81</v>
      </c>
    </row>
    <row r="457" spans="1:9" x14ac:dyDescent="0.2">
      <c r="A457" s="193">
        <v>1614000521</v>
      </c>
      <c r="B457" s="193" t="s">
        <v>582</v>
      </c>
      <c r="C457" s="195">
        <v>6000</v>
      </c>
      <c r="D457" s="195">
        <v>2950</v>
      </c>
      <c r="E457" s="195">
        <v>6000</v>
      </c>
      <c r="F457" s="195">
        <v>5653.05</v>
      </c>
      <c r="G457" s="195">
        <v>5647</v>
      </c>
      <c r="H457" s="195">
        <v>4779</v>
      </c>
    </row>
    <row r="458" spans="1:9" x14ac:dyDescent="0.2">
      <c r="A458" s="193">
        <v>1614000522</v>
      </c>
      <c r="B458" s="193" t="s">
        <v>583</v>
      </c>
      <c r="C458" s="195">
        <v>1000</v>
      </c>
      <c r="D458" s="195">
        <v>800</v>
      </c>
      <c r="E458" s="195">
        <v>1000</v>
      </c>
      <c r="F458" s="195">
        <v>800</v>
      </c>
      <c r="G458" s="195">
        <v>800</v>
      </c>
      <c r="H458" s="195">
        <v>800</v>
      </c>
      <c r="I458" s="195">
        <v>790</v>
      </c>
    </row>
    <row r="459" spans="1:9" x14ac:dyDescent="0.2">
      <c r="A459" s="193">
        <v>1614000550</v>
      </c>
      <c r="B459" s="193" t="s">
        <v>584</v>
      </c>
      <c r="C459" s="195">
        <v>190000</v>
      </c>
      <c r="D459" s="195">
        <v>116746.11</v>
      </c>
      <c r="E459" s="195">
        <v>190000</v>
      </c>
      <c r="F459" s="195">
        <v>195870.12</v>
      </c>
      <c r="G459" s="195">
        <v>200372.61</v>
      </c>
      <c r="H459" s="195">
        <v>208486.39999999999</v>
      </c>
      <c r="I459" s="195">
        <v>180866.75</v>
      </c>
    </row>
    <row r="460" spans="1:9" x14ac:dyDescent="0.2">
      <c r="A460" s="193">
        <v>1614000570</v>
      </c>
      <c r="B460" s="193" t="s">
        <v>243</v>
      </c>
      <c r="C460" s="195">
        <v>14000</v>
      </c>
      <c r="D460" s="195">
        <v>6081.51</v>
      </c>
      <c r="E460" s="195">
        <v>14000</v>
      </c>
      <c r="F460" s="195">
        <v>10088.99</v>
      </c>
      <c r="G460" s="195">
        <v>5392.83</v>
      </c>
    </row>
    <row r="461" spans="1:9" x14ac:dyDescent="0.2">
      <c r="A461" s="193">
        <v>1614000930</v>
      </c>
      <c r="B461" s="193" t="s">
        <v>585</v>
      </c>
      <c r="C461" s="195">
        <v>2000</v>
      </c>
      <c r="E461" s="195">
        <v>2000</v>
      </c>
      <c r="F461" s="195">
        <v>780</v>
      </c>
      <c r="G461" s="195">
        <v>527.82000000000005</v>
      </c>
      <c r="H461" s="195">
        <v>2000</v>
      </c>
      <c r="I461" s="195">
        <v>2000</v>
      </c>
    </row>
    <row r="462" spans="1:9" x14ac:dyDescent="0.2">
      <c r="A462" s="193">
        <v>1614000981</v>
      </c>
      <c r="B462" s="193" t="s">
        <v>74</v>
      </c>
      <c r="F462" s="195">
        <v>245</v>
      </c>
    </row>
    <row r="463" spans="1:9" x14ac:dyDescent="0.2">
      <c r="A463" s="193">
        <v>1614001550</v>
      </c>
      <c r="B463" s="193" t="s">
        <v>21</v>
      </c>
    </row>
    <row r="464" spans="1:9" x14ac:dyDescent="0.2">
      <c r="A464" s="193">
        <v>1614001551</v>
      </c>
      <c r="B464" s="193" t="s">
        <v>586</v>
      </c>
      <c r="C464" s="195">
        <v>70000</v>
      </c>
      <c r="D464" s="195">
        <v>19955.48</v>
      </c>
      <c r="E464" s="195">
        <v>70000</v>
      </c>
      <c r="F464" s="195">
        <v>53593</v>
      </c>
      <c r="G464" s="195">
        <v>30543</v>
      </c>
      <c r="H464" s="195">
        <v>85629.55</v>
      </c>
      <c r="I464" s="195">
        <v>61257.35</v>
      </c>
    </row>
    <row r="465" spans="1:9" x14ac:dyDescent="0.2">
      <c r="A465" s="193">
        <v>1615000110</v>
      </c>
      <c r="B465" s="193" t="s">
        <v>516</v>
      </c>
      <c r="C465" s="195">
        <v>837770</v>
      </c>
      <c r="D465" s="195">
        <v>648400.41</v>
      </c>
      <c r="E465" s="195">
        <v>837770</v>
      </c>
      <c r="F465" s="195">
        <v>855770.57</v>
      </c>
      <c r="G465" s="195">
        <v>802057.51</v>
      </c>
      <c r="H465" s="195">
        <v>709051.43</v>
      </c>
      <c r="I465" s="195">
        <v>655796.55000000005</v>
      </c>
    </row>
    <row r="466" spans="1:9" x14ac:dyDescent="0.2">
      <c r="A466" s="193">
        <v>1615000522</v>
      </c>
      <c r="B466" s="193" t="s">
        <v>587</v>
      </c>
      <c r="C466" s="195">
        <v>2000</v>
      </c>
      <c r="D466" s="195">
        <v>2038</v>
      </c>
      <c r="E466" s="195">
        <v>2000</v>
      </c>
      <c r="F466" s="195">
        <v>2048</v>
      </c>
      <c r="G466" s="195">
        <v>1694</v>
      </c>
      <c r="H466" s="195">
        <v>1715</v>
      </c>
      <c r="I466" s="195">
        <v>1330</v>
      </c>
    </row>
    <row r="467" spans="1:9" x14ac:dyDescent="0.2">
      <c r="A467" s="193">
        <v>1615000523</v>
      </c>
      <c r="B467" s="193" t="s">
        <v>588</v>
      </c>
      <c r="C467" s="195">
        <v>1000</v>
      </c>
      <c r="E467" s="195">
        <v>1000</v>
      </c>
      <c r="F467" s="195">
        <v>1000</v>
      </c>
      <c r="G467" s="195">
        <v>405</v>
      </c>
    </row>
    <row r="468" spans="1:9" x14ac:dyDescent="0.2">
      <c r="A468" s="193">
        <v>1615000560</v>
      </c>
      <c r="B468" s="193" t="s">
        <v>589</v>
      </c>
      <c r="C468" s="195">
        <v>5000</v>
      </c>
      <c r="D468" s="195">
        <v>5213.1499999999996</v>
      </c>
      <c r="E468" s="195">
        <v>5000</v>
      </c>
      <c r="F468" s="195">
        <v>8219.5499999999993</v>
      </c>
      <c r="G468" s="195">
        <v>6132.57</v>
      </c>
      <c r="H468" s="195">
        <v>3940.53</v>
      </c>
      <c r="I468" s="195">
        <v>3666.17</v>
      </c>
    </row>
    <row r="469" spans="1:9" x14ac:dyDescent="0.2">
      <c r="A469" s="193">
        <v>1615000571</v>
      </c>
      <c r="B469" s="193" t="s">
        <v>590</v>
      </c>
      <c r="C469" s="195">
        <v>10000</v>
      </c>
      <c r="D469" s="195">
        <v>2991</v>
      </c>
      <c r="E469" s="195">
        <v>10000</v>
      </c>
      <c r="F469" s="195">
        <v>10000</v>
      </c>
      <c r="G469" s="195">
        <v>10000</v>
      </c>
      <c r="H469" s="195">
        <v>10000</v>
      </c>
    </row>
    <row r="470" spans="1:9" x14ac:dyDescent="0.2">
      <c r="A470" s="193">
        <v>1615000760</v>
      </c>
      <c r="B470" s="193" t="s">
        <v>552</v>
      </c>
      <c r="F470" s="195">
        <v>3143.38</v>
      </c>
    </row>
    <row r="471" spans="1:9" x14ac:dyDescent="0.2">
      <c r="A471" s="193">
        <v>1615000780</v>
      </c>
      <c r="B471" s="193" t="s">
        <v>591</v>
      </c>
      <c r="C471" s="195">
        <v>194300</v>
      </c>
      <c r="D471" s="195">
        <v>192794.2</v>
      </c>
      <c r="E471" s="195">
        <v>194300</v>
      </c>
      <c r="F471" s="195">
        <v>158640.4</v>
      </c>
      <c r="G471" s="195">
        <v>30718.19</v>
      </c>
      <c r="H471" s="195">
        <v>10666.88</v>
      </c>
      <c r="I471" s="195">
        <v>16085.63</v>
      </c>
    </row>
    <row r="472" spans="1:9" x14ac:dyDescent="0.2">
      <c r="A472" s="193">
        <v>1615000930</v>
      </c>
      <c r="B472" s="193" t="s">
        <v>592</v>
      </c>
      <c r="C472" s="195">
        <v>11500</v>
      </c>
      <c r="D472" s="195">
        <v>8619.3799999999992</v>
      </c>
      <c r="E472" s="195">
        <v>11500</v>
      </c>
      <c r="F472" s="195">
        <v>13162.68</v>
      </c>
      <c r="G472" s="195">
        <v>8791.83</v>
      </c>
      <c r="H472" s="195">
        <v>2768.9</v>
      </c>
      <c r="I472" s="195">
        <v>10975.46</v>
      </c>
    </row>
    <row r="473" spans="1:9" x14ac:dyDescent="0.2">
      <c r="A473" s="193">
        <v>1617000110</v>
      </c>
      <c r="B473" s="193" t="s">
        <v>517</v>
      </c>
      <c r="C473" s="195">
        <v>1599559</v>
      </c>
      <c r="D473" s="195">
        <v>1208793.4099999999</v>
      </c>
      <c r="E473" s="195">
        <v>1599559</v>
      </c>
      <c r="F473" s="195">
        <v>1747833.76</v>
      </c>
      <c r="G473" s="195">
        <v>1533119.81</v>
      </c>
      <c r="H473" s="195">
        <v>1435050.36</v>
      </c>
      <c r="I473" s="195">
        <v>1056945.72</v>
      </c>
    </row>
    <row r="474" spans="1:9" x14ac:dyDescent="0.2">
      <c r="A474" s="193">
        <v>1617000210</v>
      </c>
      <c r="B474" s="193" t="s">
        <v>247</v>
      </c>
      <c r="G474" s="195">
        <v>13171.66</v>
      </c>
    </row>
    <row r="475" spans="1:9" x14ac:dyDescent="0.2">
      <c r="A475" s="193">
        <v>1617000440</v>
      </c>
      <c r="B475" s="193" t="s">
        <v>593</v>
      </c>
      <c r="C475" s="195">
        <v>35000</v>
      </c>
      <c r="D475" s="195">
        <v>19511</v>
      </c>
      <c r="E475" s="195">
        <v>35000</v>
      </c>
      <c r="F475" s="195">
        <v>37643</v>
      </c>
      <c r="G475" s="195">
        <v>29070</v>
      </c>
      <c r="H475" s="195">
        <v>20310</v>
      </c>
      <c r="I475" s="195">
        <v>25181.85</v>
      </c>
    </row>
    <row r="476" spans="1:9" x14ac:dyDescent="0.2">
      <c r="A476" s="193">
        <v>1617000441</v>
      </c>
      <c r="B476" s="193" t="s">
        <v>594</v>
      </c>
      <c r="C476" s="195">
        <v>487000</v>
      </c>
      <c r="D476" s="195">
        <v>478151.5</v>
      </c>
      <c r="E476" s="195">
        <v>487000</v>
      </c>
      <c r="F476" s="195">
        <v>2169594.7000000002</v>
      </c>
      <c r="G476" s="195">
        <v>956129.5</v>
      </c>
      <c r="H476" s="195">
        <v>513376</v>
      </c>
      <c r="I476" s="195">
        <v>213615.72</v>
      </c>
    </row>
    <row r="477" spans="1:9" x14ac:dyDescent="0.2">
      <c r="A477" s="193">
        <v>1617000442</v>
      </c>
      <c r="B477" s="193" t="s">
        <v>595</v>
      </c>
      <c r="C477" s="195">
        <v>150000</v>
      </c>
      <c r="D477" s="195">
        <v>158028</v>
      </c>
      <c r="E477" s="195">
        <v>150000</v>
      </c>
      <c r="F477" s="195">
        <v>109246</v>
      </c>
      <c r="G477" s="195">
        <v>172769.5</v>
      </c>
      <c r="H477" s="195">
        <v>156549</v>
      </c>
      <c r="I477" s="195">
        <v>134410.26999999999</v>
      </c>
    </row>
    <row r="478" spans="1:9" x14ac:dyDescent="0.2">
      <c r="A478" s="193">
        <v>1617000500</v>
      </c>
      <c r="B478" s="193" t="s">
        <v>596</v>
      </c>
      <c r="C478" s="195">
        <v>60000</v>
      </c>
      <c r="D478" s="195">
        <v>45121.72</v>
      </c>
      <c r="E478" s="195">
        <v>60000</v>
      </c>
      <c r="F478" s="195">
        <v>10143</v>
      </c>
      <c r="G478" s="195">
        <v>128898.44</v>
      </c>
      <c r="H478" s="195">
        <v>131581</v>
      </c>
      <c r="I478" s="195">
        <v>578481.44999999995</v>
      </c>
    </row>
    <row r="479" spans="1:9" x14ac:dyDescent="0.2">
      <c r="A479" s="193">
        <v>1617000511</v>
      </c>
      <c r="B479" s="193" t="s">
        <v>597</v>
      </c>
      <c r="C479" s="195">
        <v>2500</v>
      </c>
      <c r="D479" s="195">
        <v>1754.47</v>
      </c>
      <c r="E479" s="195">
        <v>2500</v>
      </c>
      <c r="F479" s="195">
        <v>2500</v>
      </c>
      <c r="G479" s="195">
        <v>2127</v>
      </c>
      <c r="H479" s="195">
        <v>1615.3</v>
      </c>
      <c r="I479" s="195">
        <v>531.38</v>
      </c>
    </row>
    <row r="480" spans="1:9" x14ac:dyDescent="0.2">
      <c r="A480" s="193">
        <v>1617000512</v>
      </c>
      <c r="B480" s="193" t="s">
        <v>598</v>
      </c>
      <c r="C480" s="195">
        <v>1800</v>
      </c>
      <c r="D480" s="195">
        <v>658.6</v>
      </c>
      <c r="E480" s="195">
        <v>1800</v>
      </c>
      <c r="F480" s="195">
        <v>1878.71</v>
      </c>
      <c r="G480" s="195">
        <v>2180.5</v>
      </c>
      <c r="H480" s="195">
        <v>1049.3</v>
      </c>
      <c r="I480" s="195">
        <v>1000</v>
      </c>
    </row>
    <row r="481" spans="1:9" x14ac:dyDescent="0.2">
      <c r="A481" s="193">
        <v>1617000521</v>
      </c>
      <c r="B481" s="193" t="s">
        <v>599</v>
      </c>
      <c r="C481" s="195">
        <v>25000</v>
      </c>
      <c r="D481" s="195">
        <v>24244.5</v>
      </c>
      <c r="E481" s="195">
        <v>25000</v>
      </c>
      <c r="F481" s="195">
        <v>30359.1</v>
      </c>
      <c r="G481" s="195">
        <v>13445</v>
      </c>
      <c r="H481" s="195">
        <v>9101</v>
      </c>
      <c r="I481" s="195">
        <v>11731.99</v>
      </c>
    </row>
    <row r="482" spans="1:9" x14ac:dyDescent="0.2">
      <c r="A482" s="193">
        <v>1617000522</v>
      </c>
      <c r="B482" s="193" t="s">
        <v>600</v>
      </c>
      <c r="C482" s="195">
        <v>7000</v>
      </c>
      <c r="D482" s="195">
        <v>4654</v>
      </c>
      <c r="E482" s="195">
        <v>7000</v>
      </c>
      <c r="F482" s="195">
        <v>4836.2</v>
      </c>
      <c r="G482" s="195">
        <v>10449</v>
      </c>
      <c r="H482" s="195">
        <v>3962.92</v>
      </c>
      <c r="I482" s="195">
        <v>6798</v>
      </c>
    </row>
    <row r="483" spans="1:9" x14ac:dyDescent="0.2">
      <c r="A483" s="193">
        <v>1617000523</v>
      </c>
      <c r="B483" s="193" t="s">
        <v>601</v>
      </c>
      <c r="C483" s="195">
        <v>6000</v>
      </c>
      <c r="D483" s="195">
        <v>5340</v>
      </c>
      <c r="E483" s="195">
        <v>6000</v>
      </c>
      <c r="F483" s="195">
        <v>6030</v>
      </c>
      <c r="G483" s="195">
        <v>5980</v>
      </c>
      <c r="H483" s="195">
        <v>5520</v>
      </c>
      <c r="I483" s="195">
        <v>4390</v>
      </c>
    </row>
    <row r="484" spans="1:9" x14ac:dyDescent="0.2">
      <c r="A484" s="193">
        <v>1617000530</v>
      </c>
      <c r="B484" s="193" t="s">
        <v>22</v>
      </c>
      <c r="C484" s="195">
        <v>75000</v>
      </c>
      <c r="D484" s="195">
        <v>49752.4</v>
      </c>
      <c r="E484" s="195">
        <v>75000</v>
      </c>
      <c r="F484" s="195">
        <v>81277.490000000005</v>
      </c>
      <c r="G484" s="195">
        <v>87394.91</v>
      </c>
      <c r="H484" s="195">
        <v>72275.509999999995</v>
      </c>
      <c r="I484" s="195">
        <v>70074.14</v>
      </c>
    </row>
    <row r="485" spans="1:9" x14ac:dyDescent="0.2">
      <c r="A485" s="193">
        <v>1617000540</v>
      </c>
      <c r="B485" s="193" t="s">
        <v>603</v>
      </c>
      <c r="G485" s="195">
        <v>474.1</v>
      </c>
      <c r="H485" s="195">
        <v>85</v>
      </c>
      <c r="I485" s="195">
        <v>214.74</v>
      </c>
    </row>
    <row r="486" spans="1:9" x14ac:dyDescent="0.2">
      <c r="A486" s="193">
        <v>1617000560</v>
      </c>
      <c r="B486" s="193" t="s">
        <v>604</v>
      </c>
      <c r="C486" s="195">
        <v>13000</v>
      </c>
      <c r="D486" s="195">
        <v>5134.96</v>
      </c>
      <c r="E486" s="195">
        <v>13000</v>
      </c>
      <c r="F486" s="195">
        <v>12058.23</v>
      </c>
      <c r="G486" s="195">
        <v>8600.69</v>
      </c>
      <c r="H486" s="195">
        <v>7593.82</v>
      </c>
      <c r="I486" s="195">
        <v>11429.18</v>
      </c>
    </row>
    <row r="487" spans="1:9" x14ac:dyDescent="0.2">
      <c r="A487" s="193">
        <v>1617000570</v>
      </c>
      <c r="B487" s="193" t="s">
        <v>605</v>
      </c>
      <c r="C487" s="195">
        <v>13000</v>
      </c>
      <c r="D487" s="195">
        <v>9691</v>
      </c>
      <c r="E487" s="195">
        <v>13000</v>
      </c>
      <c r="F487" s="195">
        <v>9493</v>
      </c>
      <c r="G487" s="195">
        <v>11774</v>
      </c>
      <c r="H487" s="195">
        <v>11293.62</v>
      </c>
      <c r="I487" s="195">
        <v>7738.68</v>
      </c>
    </row>
    <row r="488" spans="1:9" x14ac:dyDescent="0.2">
      <c r="A488" s="193">
        <v>1617000580</v>
      </c>
      <c r="B488" s="193" t="s">
        <v>1218</v>
      </c>
      <c r="D488" s="195">
        <v>570.9</v>
      </c>
      <c r="F488" s="195">
        <v>2322.69</v>
      </c>
      <c r="G488" s="195">
        <v>95.2</v>
      </c>
      <c r="I488" s="195">
        <v>3848</v>
      </c>
    </row>
    <row r="489" spans="1:9" x14ac:dyDescent="0.2">
      <c r="A489" s="193">
        <v>1617000581</v>
      </c>
      <c r="B489" s="193" t="s">
        <v>606</v>
      </c>
      <c r="C489" s="195">
        <v>103000</v>
      </c>
      <c r="D489" s="195">
        <v>73170</v>
      </c>
      <c r="E489" s="195">
        <v>103000</v>
      </c>
      <c r="F489" s="195">
        <v>64384.32</v>
      </c>
      <c r="G489" s="195">
        <v>149557.18</v>
      </c>
      <c r="H489" s="195">
        <v>89808.99</v>
      </c>
      <c r="I489" s="195">
        <v>23119.5</v>
      </c>
    </row>
    <row r="490" spans="1:9" x14ac:dyDescent="0.2">
      <c r="A490" s="193">
        <v>1617000750</v>
      </c>
      <c r="B490" s="193" t="s">
        <v>607</v>
      </c>
      <c r="C490" s="195">
        <v>375000</v>
      </c>
      <c r="D490" s="195">
        <v>187114.6</v>
      </c>
      <c r="E490" s="195">
        <v>375000</v>
      </c>
      <c r="F490" s="195">
        <v>208428.55</v>
      </c>
      <c r="G490" s="195">
        <v>375134.53</v>
      </c>
      <c r="H490" s="195">
        <v>381365.3</v>
      </c>
      <c r="I490" s="195">
        <v>469350.13</v>
      </c>
    </row>
    <row r="491" spans="1:9" x14ac:dyDescent="0.2">
      <c r="A491" s="193">
        <v>1617000751</v>
      </c>
      <c r="B491" s="193" t="s">
        <v>253</v>
      </c>
    </row>
    <row r="492" spans="1:9" x14ac:dyDescent="0.2">
      <c r="A492" s="193">
        <v>1617000752</v>
      </c>
      <c r="B492" s="193" t="s">
        <v>254</v>
      </c>
    </row>
    <row r="493" spans="1:9" x14ac:dyDescent="0.2">
      <c r="A493" s="193">
        <v>1617000753</v>
      </c>
      <c r="B493" s="193" t="s">
        <v>255</v>
      </c>
    </row>
    <row r="494" spans="1:9" x14ac:dyDescent="0.2">
      <c r="A494" s="193">
        <v>1617000760</v>
      </c>
      <c r="B494" s="193" t="s">
        <v>552</v>
      </c>
      <c r="C494" s="195">
        <v>18000</v>
      </c>
      <c r="D494" s="195">
        <v>6633</v>
      </c>
      <c r="E494" s="195">
        <v>18000</v>
      </c>
      <c r="F494" s="195">
        <v>19930.400000000001</v>
      </c>
      <c r="G494" s="195">
        <v>2239.36</v>
      </c>
      <c r="H494" s="195">
        <v>2504.64</v>
      </c>
      <c r="I494" s="195">
        <v>11702.88</v>
      </c>
    </row>
    <row r="495" spans="1:9" x14ac:dyDescent="0.2">
      <c r="A495" s="193">
        <v>1617000930</v>
      </c>
      <c r="B495" s="193" t="s">
        <v>608</v>
      </c>
      <c r="C495" s="195">
        <v>12500</v>
      </c>
      <c r="D495" s="195">
        <v>9283.86</v>
      </c>
      <c r="E495" s="195">
        <v>12500</v>
      </c>
      <c r="F495" s="195">
        <v>15658</v>
      </c>
      <c r="G495" s="195">
        <v>10538.97</v>
      </c>
      <c r="H495" s="195">
        <v>19684.59</v>
      </c>
      <c r="I495" s="195">
        <v>1150</v>
      </c>
    </row>
    <row r="496" spans="1:9" x14ac:dyDescent="0.2">
      <c r="A496" s="193">
        <v>1617000980</v>
      </c>
      <c r="B496" s="193" t="s">
        <v>609</v>
      </c>
      <c r="C496" s="195">
        <v>3000</v>
      </c>
      <c r="D496" s="195">
        <v>2194</v>
      </c>
      <c r="E496" s="195">
        <v>3000</v>
      </c>
      <c r="F496" s="195">
        <v>2121.2199999999998</v>
      </c>
      <c r="G496" s="195">
        <v>13251.46</v>
      </c>
      <c r="H496" s="195">
        <v>5675.4</v>
      </c>
      <c r="I496" s="195">
        <v>5950</v>
      </c>
    </row>
    <row r="497" spans="1:9" x14ac:dyDescent="0.2">
      <c r="A497" s="193">
        <v>1617000981</v>
      </c>
      <c r="B497" s="193" t="s">
        <v>74</v>
      </c>
      <c r="F497" s="195">
        <v>771</v>
      </c>
    </row>
    <row r="498" spans="1:9" x14ac:dyDescent="0.2">
      <c r="A498" s="193">
        <v>1619000110</v>
      </c>
      <c r="B498" s="193" t="s">
        <v>23</v>
      </c>
      <c r="D498" s="195">
        <v>71.25</v>
      </c>
      <c r="F498" s="195">
        <v>29.57</v>
      </c>
      <c r="G498" s="195">
        <v>49808.24</v>
      </c>
    </row>
    <row r="499" spans="1:9" x14ac:dyDescent="0.2">
      <c r="A499" s="193">
        <v>1619000780</v>
      </c>
      <c r="B499" s="193" t="s">
        <v>1153</v>
      </c>
      <c r="G499" s="195">
        <v>382647.88</v>
      </c>
    </row>
    <row r="500" spans="1:9" x14ac:dyDescent="0.2">
      <c r="A500" s="193">
        <v>1620000399</v>
      </c>
      <c r="B500" s="193" t="s">
        <v>24</v>
      </c>
    </row>
    <row r="501" spans="1:9" x14ac:dyDescent="0.2">
      <c r="A501" s="193">
        <v>1620000981</v>
      </c>
      <c r="B501" s="193" t="s">
        <v>73</v>
      </c>
      <c r="F501" s="195">
        <v>281.75</v>
      </c>
    </row>
    <row r="502" spans="1:9" x14ac:dyDescent="0.2">
      <c r="A502" s="193">
        <v>1621000731</v>
      </c>
      <c r="B502" s="193" t="s">
        <v>1530</v>
      </c>
      <c r="C502" s="195">
        <v>1806</v>
      </c>
      <c r="D502" s="195">
        <v>667.26</v>
      </c>
      <c r="E502" s="195">
        <v>1806</v>
      </c>
      <c r="F502" s="195">
        <v>8777.81</v>
      </c>
    </row>
    <row r="503" spans="1:9" x14ac:dyDescent="0.2">
      <c r="A503" s="193">
        <v>1621100110</v>
      </c>
      <c r="B503" s="193" t="s">
        <v>518</v>
      </c>
      <c r="C503" s="195">
        <v>848719</v>
      </c>
      <c r="D503" s="195">
        <v>647263.34</v>
      </c>
      <c r="E503" s="195">
        <v>848719</v>
      </c>
      <c r="F503" s="195">
        <v>847447.38</v>
      </c>
      <c r="G503" s="195">
        <v>790103.34</v>
      </c>
      <c r="H503" s="195">
        <v>754811.19</v>
      </c>
      <c r="I503" s="195">
        <v>639082.74</v>
      </c>
    </row>
    <row r="504" spans="1:9" x14ac:dyDescent="0.2">
      <c r="A504" s="193">
        <v>1621100422</v>
      </c>
      <c r="B504" s="193" t="s">
        <v>25</v>
      </c>
    </row>
    <row r="505" spans="1:9" x14ac:dyDescent="0.2">
      <c r="A505" s="193">
        <v>1621100440</v>
      </c>
      <c r="B505" s="193" t="s">
        <v>610</v>
      </c>
      <c r="C505" s="195">
        <v>17000</v>
      </c>
      <c r="D505" s="195">
        <v>19716</v>
      </c>
      <c r="E505" s="195">
        <v>17000</v>
      </c>
      <c r="F505" s="195">
        <v>17445.93</v>
      </c>
      <c r="G505" s="195">
        <v>12750</v>
      </c>
      <c r="H505" s="195">
        <v>8500</v>
      </c>
      <c r="I505" s="195">
        <v>13531.85</v>
      </c>
    </row>
    <row r="506" spans="1:9" x14ac:dyDescent="0.2">
      <c r="A506" s="193">
        <v>1621100470</v>
      </c>
      <c r="B506" s="193" t="s">
        <v>611</v>
      </c>
      <c r="C506" s="195">
        <v>1400</v>
      </c>
      <c r="D506" s="195">
        <v>779.87</v>
      </c>
      <c r="E506" s="195">
        <v>1400</v>
      </c>
      <c r="F506" s="195">
        <v>717.05</v>
      </c>
      <c r="G506" s="195">
        <v>429.47</v>
      </c>
      <c r="H506" s="195">
        <v>1610</v>
      </c>
      <c r="I506" s="195">
        <v>3113.16</v>
      </c>
    </row>
    <row r="507" spans="1:9" x14ac:dyDescent="0.2">
      <c r="A507" s="193">
        <v>1621100511</v>
      </c>
      <c r="B507" s="193" t="s">
        <v>612</v>
      </c>
      <c r="C507" s="195">
        <v>1500</v>
      </c>
      <c r="D507" s="195">
        <v>750</v>
      </c>
      <c r="E507" s="195">
        <v>1500</v>
      </c>
      <c r="F507" s="195">
        <v>1500</v>
      </c>
      <c r="G507" s="195">
        <v>2089</v>
      </c>
      <c r="H507" s="195">
        <v>1500</v>
      </c>
      <c r="I507" s="195">
        <v>82</v>
      </c>
    </row>
    <row r="508" spans="1:9" x14ac:dyDescent="0.2">
      <c r="A508" s="193">
        <v>1621100512</v>
      </c>
      <c r="B508" s="193" t="s">
        <v>613</v>
      </c>
      <c r="C508" s="195">
        <v>2000</v>
      </c>
      <c r="D508" s="195">
        <v>497.5</v>
      </c>
      <c r="E508" s="195">
        <v>2000</v>
      </c>
      <c r="G508" s="195">
        <v>159</v>
      </c>
      <c r="H508" s="195">
        <v>1500</v>
      </c>
      <c r="I508" s="195">
        <v>1646.8</v>
      </c>
    </row>
    <row r="509" spans="1:9" x14ac:dyDescent="0.2">
      <c r="A509" s="193">
        <v>1621100521</v>
      </c>
      <c r="B509" s="193" t="s">
        <v>614</v>
      </c>
      <c r="C509" s="195">
        <v>6000</v>
      </c>
      <c r="D509" s="195">
        <v>7187.06</v>
      </c>
      <c r="E509" s="195">
        <v>6000</v>
      </c>
      <c r="F509" s="195">
        <v>5278</v>
      </c>
      <c r="G509" s="195">
        <v>7952</v>
      </c>
      <c r="H509" s="195">
        <v>15950</v>
      </c>
      <c r="I509" s="195">
        <v>5799.99</v>
      </c>
    </row>
    <row r="510" spans="1:9" x14ac:dyDescent="0.2">
      <c r="A510" s="193">
        <v>1621100522</v>
      </c>
      <c r="B510" s="193" t="s">
        <v>615</v>
      </c>
      <c r="C510" s="195">
        <v>3600</v>
      </c>
      <c r="D510" s="195">
        <v>2507.12</v>
      </c>
      <c r="E510" s="195">
        <v>3600</v>
      </c>
      <c r="F510" s="195">
        <v>3688.99</v>
      </c>
      <c r="G510" s="195">
        <v>3640.01</v>
      </c>
      <c r="H510" s="195">
        <v>4716.3500000000004</v>
      </c>
      <c r="I510" s="195">
        <v>1996.13</v>
      </c>
    </row>
    <row r="511" spans="1:9" x14ac:dyDescent="0.2">
      <c r="A511" s="193">
        <v>1621100523</v>
      </c>
      <c r="B511" s="193" t="s">
        <v>616</v>
      </c>
      <c r="C511" s="195">
        <v>3100</v>
      </c>
      <c r="D511" s="195">
        <v>2338</v>
      </c>
      <c r="E511" s="195">
        <v>3100</v>
      </c>
      <c r="F511" s="195">
        <v>2264</v>
      </c>
      <c r="G511" s="195">
        <v>3200</v>
      </c>
      <c r="H511" s="195">
        <v>1000</v>
      </c>
    </row>
    <row r="512" spans="1:9" x14ac:dyDescent="0.2">
      <c r="A512" s="193">
        <v>1621100530</v>
      </c>
      <c r="B512" s="193" t="s">
        <v>102</v>
      </c>
      <c r="C512" s="195">
        <v>75000</v>
      </c>
      <c r="D512" s="195">
        <v>52556.51</v>
      </c>
      <c r="E512" s="195">
        <v>75000</v>
      </c>
      <c r="F512" s="195">
        <v>107888.2</v>
      </c>
      <c r="G512" s="195">
        <v>104046.34</v>
      </c>
      <c r="H512" s="195">
        <v>96487.43</v>
      </c>
      <c r="I512" s="195">
        <v>86702.64</v>
      </c>
    </row>
    <row r="513" spans="1:9" x14ac:dyDescent="0.2">
      <c r="A513" s="193">
        <v>1621100540</v>
      </c>
      <c r="B513" s="193" t="s">
        <v>26</v>
      </c>
    </row>
    <row r="514" spans="1:9" x14ac:dyDescent="0.2">
      <c r="A514" s="193">
        <v>1621100560</v>
      </c>
      <c r="B514" s="193" t="s">
        <v>618</v>
      </c>
      <c r="C514" s="195">
        <v>9000</v>
      </c>
      <c r="D514" s="195">
        <v>9348.92</v>
      </c>
      <c r="E514" s="195">
        <v>9000</v>
      </c>
      <c r="F514" s="195">
        <v>13166.07</v>
      </c>
      <c r="G514" s="195">
        <v>9394.31</v>
      </c>
      <c r="H514" s="195">
        <v>8940.99</v>
      </c>
      <c r="I514" s="195">
        <v>8142.38</v>
      </c>
    </row>
    <row r="515" spans="1:9" x14ac:dyDescent="0.2">
      <c r="A515" s="193">
        <v>1621100580</v>
      </c>
      <c r="B515" s="193" t="s">
        <v>1220</v>
      </c>
      <c r="D515" s="195">
        <v>570.29999999999995</v>
      </c>
      <c r="F515" s="195">
        <v>5635.6</v>
      </c>
      <c r="G515" s="195">
        <v>4723.25</v>
      </c>
      <c r="H515" s="195">
        <v>5611.08</v>
      </c>
      <c r="I515" s="195">
        <v>283.37</v>
      </c>
    </row>
    <row r="516" spans="1:9" x14ac:dyDescent="0.2">
      <c r="A516" s="193">
        <v>1621100742</v>
      </c>
      <c r="B516" s="193" t="s">
        <v>619</v>
      </c>
    </row>
    <row r="517" spans="1:9" x14ac:dyDescent="0.2">
      <c r="A517" s="193">
        <v>1621100760</v>
      </c>
      <c r="B517" s="193" t="s">
        <v>552</v>
      </c>
      <c r="D517" s="195">
        <v>9464.94</v>
      </c>
      <c r="F517" s="195">
        <v>17878.599999999999</v>
      </c>
      <c r="G517" s="195">
        <v>14028.39</v>
      </c>
      <c r="I517" s="195">
        <v>15442.4</v>
      </c>
    </row>
    <row r="518" spans="1:9" x14ac:dyDescent="0.2">
      <c r="A518" s="193">
        <v>1621100910</v>
      </c>
      <c r="B518" s="193" t="s">
        <v>1529</v>
      </c>
      <c r="C518" s="195">
        <v>15568</v>
      </c>
      <c r="D518" s="195">
        <v>15568.21</v>
      </c>
      <c r="E518" s="195">
        <v>15568</v>
      </c>
    </row>
    <row r="519" spans="1:9" x14ac:dyDescent="0.2">
      <c r="A519" s="193">
        <v>1621100930</v>
      </c>
      <c r="B519" s="193" t="s">
        <v>620</v>
      </c>
      <c r="C519" s="195">
        <v>1400</v>
      </c>
      <c r="D519" s="195">
        <v>1517.1</v>
      </c>
      <c r="E519" s="195">
        <v>1400</v>
      </c>
      <c r="F519" s="195">
        <v>2806.36</v>
      </c>
      <c r="G519" s="195">
        <v>7924.4</v>
      </c>
      <c r="H519" s="195">
        <v>9932.1299999999992</v>
      </c>
      <c r="I519" s="195">
        <v>7250</v>
      </c>
    </row>
    <row r="520" spans="1:9" x14ac:dyDescent="0.2">
      <c r="A520" s="193">
        <v>1621100980</v>
      </c>
      <c r="B520" s="193" t="s">
        <v>621</v>
      </c>
      <c r="C520" s="195">
        <v>85800</v>
      </c>
      <c r="D520" s="195">
        <v>35400</v>
      </c>
      <c r="E520" s="195">
        <v>85800</v>
      </c>
      <c r="F520" s="195">
        <v>88669.78</v>
      </c>
      <c r="G520" s="195">
        <v>21586.35</v>
      </c>
      <c r="H520" s="195">
        <v>14142.8</v>
      </c>
      <c r="I520" s="195">
        <v>7009</v>
      </c>
    </row>
    <row r="521" spans="1:9" x14ac:dyDescent="0.2">
      <c r="A521" s="193">
        <v>1621300110</v>
      </c>
      <c r="B521" s="193" t="s">
        <v>27</v>
      </c>
    </row>
    <row r="522" spans="1:9" x14ac:dyDescent="0.2">
      <c r="A522" s="193">
        <v>1621300470</v>
      </c>
      <c r="B522" s="193" t="s">
        <v>622</v>
      </c>
      <c r="H522" s="195">
        <v>1450</v>
      </c>
    </row>
    <row r="523" spans="1:9" x14ac:dyDescent="0.2">
      <c r="A523" s="193">
        <v>1621300560</v>
      </c>
      <c r="B523" s="193" t="s">
        <v>623</v>
      </c>
      <c r="C523" s="195">
        <v>7000</v>
      </c>
      <c r="D523" s="195">
        <v>2990.35</v>
      </c>
      <c r="E523" s="195">
        <v>7000</v>
      </c>
      <c r="F523" s="195">
        <v>7770.16</v>
      </c>
      <c r="G523" s="195">
        <v>5823.14</v>
      </c>
      <c r="H523" s="195">
        <v>10305.4</v>
      </c>
      <c r="I523" s="195">
        <v>6904</v>
      </c>
    </row>
    <row r="524" spans="1:9" x14ac:dyDescent="0.2">
      <c r="A524" s="193">
        <v>1621300570</v>
      </c>
      <c r="B524" s="193" t="s">
        <v>624</v>
      </c>
      <c r="C524" s="195">
        <v>137200</v>
      </c>
      <c r="D524" s="195">
        <v>88229.63</v>
      </c>
      <c r="E524" s="195">
        <v>137200</v>
      </c>
      <c r="F524" s="195">
        <v>133689.37</v>
      </c>
      <c r="G524" s="195">
        <v>131172.60999999999</v>
      </c>
      <c r="H524" s="195">
        <v>110337.9</v>
      </c>
      <c r="I524" s="195">
        <v>179891.24</v>
      </c>
    </row>
    <row r="525" spans="1:9" x14ac:dyDescent="0.2">
      <c r="A525" s="193">
        <v>1621300580</v>
      </c>
      <c r="B525" s="193" t="s">
        <v>28</v>
      </c>
    </row>
    <row r="526" spans="1:9" x14ac:dyDescent="0.2">
      <c r="A526" s="193">
        <v>1621300750</v>
      </c>
      <c r="B526" s="193" t="s">
        <v>625</v>
      </c>
      <c r="C526" s="195">
        <v>1774000</v>
      </c>
      <c r="D526" s="195">
        <v>779823</v>
      </c>
      <c r="E526" s="195">
        <v>1774000</v>
      </c>
      <c r="F526" s="195">
        <v>1832184</v>
      </c>
      <c r="G526" s="195">
        <v>1773284</v>
      </c>
      <c r="H526" s="195">
        <v>1712892</v>
      </c>
      <c r="I526" s="195">
        <v>1646160</v>
      </c>
    </row>
    <row r="527" spans="1:9" x14ac:dyDescent="0.2">
      <c r="A527" s="193">
        <v>1621300780</v>
      </c>
      <c r="B527" s="193" t="s">
        <v>626</v>
      </c>
      <c r="C527" s="195">
        <v>10000</v>
      </c>
      <c r="D527" s="195">
        <v>610</v>
      </c>
      <c r="E527" s="195">
        <v>11500</v>
      </c>
      <c r="F527" s="195">
        <v>1801.73</v>
      </c>
      <c r="G527" s="195">
        <v>7477.72</v>
      </c>
      <c r="H527" s="195">
        <v>15908.48</v>
      </c>
      <c r="I527" s="195">
        <v>12588.2</v>
      </c>
    </row>
    <row r="528" spans="1:9" x14ac:dyDescent="0.2">
      <c r="A528" s="193">
        <v>1621300930</v>
      </c>
      <c r="B528" s="193" t="s">
        <v>627</v>
      </c>
      <c r="C528" s="195">
        <v>10000</v>
      </c>
      <c r="D528" s="195">
        <v>1177.79</v>
      </c>
      <c r="E528" s="195">
        <v>10500</v>
      </c>
      <c r="F528" s="195">
        <v>9298.6</v>
      </c>
      <c r="G528" s="195">
        <v>5331.8</v>
      </c>
      <c r="H528" s="195">
        <v>14968.83</v>
      </c>
      <c r="I528" s="195">
        <v>14265.93</v>
      </c>
    </row>
    <row r="529" spans="1:9" x14ac:dyDescent="0.2">
      <c r="A529" s="193">
        <v>1621500110</v>
      </c>
      <c r="B529" s="193" t="s">
        <v>519</v>
      </c>
      <c r="C529" s="195">
        <v>544925</v>
      </c>
      <c r="D529" s="195">
        <v>424151.17</v>
      </c>
      <c r="E529" s="195">
        <v>544925</v>
      </c>
      <c r="F529" s="195">
        <v>491569.82</v>
      </c>
      <c r="G529" s="195">
        <v>457442.3</v>
      </c>
      <c r="H529" s="195">
        <v>417975.45</v>
      </c>
      <c r="I529" s="195">
        <v>436534.62</v>
      </c>
    </row>
    <row r="530" spans="1:9" x14ac:dyDescent="0.2">
      <c r="A530" s="193">
        <v>1621500511</v>
      </c>
      <c r="B530" s="193" t="s">
        <v>29</v>
      </c>
      <c r="C530" s="195">
        <v>1000</v>
      </c>
      <c r="D530" s="195">
        <v>500</v>
      </c>
      <c r="E530" s="195">
        <v>1000</v>
      </c>
      <c r="F530" s="195">
        <v>1000</v>
      </c>
    </row>
    <row r="531" spans="1:9" x14ac:dyDescent="0.2">
      <c r="A531" s="193">
        <v>1621500521</v>
      </c>
      <c r="B531" s="193" t="s">
        <v>628</v>
      </c>
      <c r="C531" s="195">
        <v>4500</v>
      </c>
      <c r="D531" s="195">
        <v>4165</v>
      </c>
      <c r="E531" s="195">
        <v>4500</v>
      </c>
      <c r="F531" s="195">
        <v>3350</v>
      </c>
      <c r="G531" s="195">
        <v>4353</v>
      </c>
      <c r="H531" s="195">
        <v>4310</v>
      </c>
    </row>
    <row r="532" spans="1:9" x14ac:dyDescent="0.2">
      <c r="A532" s="193">
        <v>1621500540</v>
      </c>
      <c r="B532" s="193" t="s">
        <v>629</v>
      </c>
      <c r="I532" s="195">
        <v>6000</v>
      </c>
    </row>
    <row r="533" spans="1:9" x14ac:dyDescent="0.2">
      <c r="A533" s="193">
        <v>1621500560</v>
      </c>
      <c r="B533" s="193" t="s">
        <v>630</v>
      </c>
      <c r="C533" s="195">
        <v>3500</v>
      </c>
      <c r="D533" s="195">
        <v>2733.84</v>
      </c>
      <c r="E533" s="195">
        <v>3500</v>
      </c>
      <c r="F533" s="195">
        <v>3224.54</v>
      </c>
      <c r="G533" s="195">
        <v>3368.24</v>
      </c>
      <c r="H533" s="195">
        <v>945.86</v>
      </c>
      <c r="I533" s="195">
        <v>967.76</v>
      </c>
    </row>
    <row r="534" spans="1:9" x14ac:dyDescent="0.2">
      <c r="A534" s="193">
        <v>1621500570</v>
      </c>
      <c r="B534" s="193" t="s">
        <v>631</v>
      </c>
      <c r="C534" s="195">
        <v>218000</v>
      </c>
      <c r="D534" s="195">
        <v>149719.35</v>
      </c>
      <c r="E534" s="195">
        <v>218000</v>
      </c>
      <c r="F534" s="195">
        <v>200795.84</v>
      </c>
      <c r="G534" s="195">
        <v>198241.48</v>
      </c>
      <c r="H534" s="195">
        <v>238361.63</v>
      </c>
      <c r="I534" s="195">
        <v>220066.58</v>
      </c>
    </row>
    <row r="535" spans="1:9" x14ac:dyDescent="0.2">
      <c r="A535" s="193">
        <v>1621500750</v>
      </c>
      <c r="B535" s="193" t="s">
        <v>1221</v>
      </c>
      <c r="H535" s="195">
        <v>37120</v>
      </c>
      <c r="I535" s="195">
        <v>148480</v>
      </c>
    </row>
    <row r="536" spans="1:9" x14ac:dyDescent="0.2">
      <c r="A536" s="193">
        <v>1621500780</v>
      </c>
      <c r="B536" s="193" t="s">
        <v>632</v>
      </c>
      <c r="C536" s="195">
        <v>3500</v>
      </c>
      <c r="D536" s="195">
        <v>1140.96</v>
      </c>
      <c r="E536" s="195">
        <v>3500</v>
      </c>
      <c r="F536" s="195">
        <v>6416.15</v>
      </c>
      <c r="G536" s="195">
        <v>38816.269999999997</v>
      </c>
      <c r="H536" s="195">
        <v>3459.44</v>
      </c>
      <c r="I536" s="195">
        <v>1508.58</v>
      </c>
    </row>
    <row r="537" spans="1:9" x14ac:dyDescent="0.2">
      <c r="A537" s="193">
        <v>1621500930</v>
      </c>
      <c r="B537" s="193" t="s">
        <v>633</v>
      </c>
      <c r="C537" s="195">
        <v>7000</v>
      </c>
      <c r="D537" s="195">
        <v>770</v>
      </c>
      <c r="E537" s="195">
        <v>7000</v>
      </c>
      <c r="F537" s="195">
        <v>7789.18</v>
      </c>
      <c r="G537" s="195">
        <v>3789.72</v>
      </c>
      <c r="H537" s="195">
        <v>2942.03</v>
      </c>
      <c r="I537" s="195">
        <v>1589.4</v>
      </c>
    </row>
    <row r="538" spans="1:9" x14ac:dyDescent="0.2">
      <c r="A538" s="193">
        <v>1621500981</v>
      </c>
      <c r="B538" s="193" t="s">
        <v>74</v>
      </c>
      <c r="F538" s="195">
        <v>112</v>
      </c>
    </row>
    <row r="539" spans="1:9" x14ac:dyDescent="0.2">
      <c r="A539" s="193">
        <v>1623000110</v>
      </c>
      <c r="B539" s="193" t="s">
        <v>520</v>
      </c>
      <c r="C539" s="195">
        <v>1123505</v>
      </c>
      <c r="D539" s="195">
        <v>891148.51</v>
      </c>
      <c r="E539" s="195">
        <v>1123505</v>
      </c>
      <c r="F539" s="195">
        <v>1204640.78</v>
      </c>
      <c r="G539" s="195">
        <v>1164995.77</v>
      </c>
      <c r="H539" s="195">
        <v>843132.27</v>
      </c>
      <c r="I539" s="195">
        <v>695465.08</v>
      </c>
    </row>
    <row r="540" spans="1:9" x14ac:dyDescent="0.2">
      <c r="A540" s="193">
        <v>1623000210</v>
      </c>
      <c r="B540" s="193" t="s">
        <v>1528</v>
      </c>
      <c r="C540" s="195">
        <v>32124</v>
      </c>
      <c r="D540" s="195">
        <v>32748.17</v>
      </c>
      <c r="E540" s="195">
        <v>32124</v>
      </c>
      <c r="F540" s="195">
        <v>6419.03</v>
      </c>
    </row>
    <row r="541" spans="1:9" x14ac:dyDescent="0.2">
      <c r="A541" s="193">
        <v>1623000440</v>
      </c>
      <c r="B541" s="193" t="s">
        <v>634</v>
      </c>
      <c r="C541" s="195">
        <v>2520</v>
      </c>
      <c r="D541" s="195">
        <v>2315</v>
      </c>
      <c r="E541" s="195">
        <v>2520</v>
      </c>
      <c r="F541" s="195">
        <v>2531</v>
      </c>
      <c r="G541" s="195">
        <v>1890</v>
      </c>
      <c r="H541" s="195">
        <v>1260</v>
      </c>
      <c r="I541" s="195">
        <v>1677.05</v>
      </c>
    </row>
    <row r="542" spans="1:9" x14ac:dyDescent="0.2">
      <c r="A542" s="193">
        <v>1623000521</v>
      </c>
      <c r="B542" s="193" t="s">
        <v>635</v>
      </c>
      <c r="C542" s="195">
        <v>5400</v>
      </c>
      <c r="D542" s="195">
        <v>1650</v>
      </c>
      <c r="E542" s="195">
        <v>5400</v>
      </c>
      <c r="F542" s="195">
        <v>2100</v>
      </c>
      <c r="G542" s="195">
        <v>1000</v>
      </c>
      <c r="H542" s="195">
        <v>2415</v>
      </c>
      <c r="I542" s="195">
        <v>2420</v>
      </c>
    </row>
    <row r="543" spans="1:9" x14ac:dyDescent="0.2">
      <c r="A543" s="193">
        <v>1623000530</v>
      </c>
      <c r="B543" s="193" t="s">
        <v>636</v>
      </c>
      <c r="C543" s="195">
        <v>75000</v>
      </c>
      <c r="D543" s="195">
        <v>35680.449999999997</v>
      </c>
      <c r="E543" s="195">
        <v>75000</v>
      </c>
      <c r="F543" s="195">
        <v>59684.47</v>
      </c>
      <c r="G543" s="195">
        <v>61468.68</v>
      </c>
      <c r="H543" s="195">
        <v>24394.47</v>
      </c>
    </row>
    <row r="544" spans="1:9" x14ac:dyDescent="0.2">
      <c r="A544" s="193">
        <v>1623000540</v>
      </c>
      <c r="B544" s="193" t="s">
        <v>30</v>
      </c>
    </row>
    <row r="545" spans="1:9" x14ac:dyDescent="0.2">
      <c r="A545" s="193">
        <v>1623000560</v>
      </c>
      <c r="B545" s="193" t="s">
        <v>637</v>
      </c>
      <c r="C545" s="195">
        <v>3000</v>
      </c>
      <c r="D545" s="195">
        <v>944</v>
      </c>
      <c r="E545" s="195">
        <v>3000</v>
      </c>
      <c r="F545" s="195">
        <v>2545.5300000000002</v>
      </c>
      <c r="G545" s="195">
        <v>4603</v>
      </c>
      <c r="H545" s="195">
        <v>10368.51</v>
      </c>
      <c r="I545" s="195">
        <v>3969.5</v>
      </c>
    </row>
    <row r="546" spans="1:9" x14ac:dyDescent="0.2">
      <c r="A546" s="193">
        <v>1623000561</v>
      </c>
      <c r="B546" s="193" t="s">
        <v>31</v>
      </c>
      <c r="G546" s="195">
        <v>2307.9299999999998</v>
      </c>
      <c r="H546" s="195">
        <v>1026.0999999999999</v>
      </c>
    </row>
    <row r="547" spans="1:9" x14ac:dyDescent="0.2">
      <c r="A547" s="193">
        <v>1623000570</v>
      </c>
      <c r="B547" s="193" t="s">
        <v>638</v>
      </c>
      <c r="C547" s="195">
        <v>291108</v>
      </c>
      <c r="D547" s="195">
        <v>253907.56</v>
      </c>
      <c r="E547" s="195">
        <v>291108</v>
      </c>
      <c r="F547" s="195">
        <v>292109.81</v>
      </c>
      <c r="G547" s="195">
        <v>205685.09</v>
      </c>
      <c r="H547" s="195">
        <v>224985</v>
      </c>
      <c r="I547" s="195">
        <v>314871.05</v>
      </c>
    </row>
    <row r="548" spans="1:9" x14ac:dyDescent="0.2">
      <c r="A548" s="193">
        <v>1623000580</v>
      </c>
      <c r="B548" s="193" t="s">
        <v>639</v>
      </c>
      <c r="C548" s="195">
        <v>12000</v>
      </c>
      <c r="D548" s="195">
        <v>4571</v>
      </c>
      <c r="E548" s="195">
        <v>12000</v>
      </c>
      <c r="F548" s="195">
        <v>8891.0300000000007</v>
      </c>
      <c r="G548" s="195">
        <v>5327.6</v>
      </c>
      <c r="H548" s="195">
        <v>22785.57</v>
      </c>
      <c r="I548" s="195">
        <v>320344.92</v>
      </c>
    </row>
    <row r="549" spans="1:9" x14ac:dyDescent="0.2">
      <c r="A549" s="193">
        <v>1623000731</v>
      </c>
      <c r="B549" s="193" t="s">
        <v>103</v>
      </c>
      <c r="F549" s="195">
        <v>1116.8399999999999</v>
      </c>
      <c r="G549" s="195">
        <v>7716.11</v>
      </c>
      <c r="H549" s="195">
        <v>9145.7199999999993</v>
      </c>
    </row>
    <row r="550" spans="1:9" x14ac:dyDescent="0.2">
      <c r="A550" s="193">
        <v>1623000750</v>
      </c>
      <c r="B550" s="193" t="s">
        <v>640</v>
      </c>
      <c r="C550" s="195">
        <v>3000000</v>
      </c>
      <c r="D550" s="195">
        <v>1673645.91</v>
      </c>
      <c r="E550" s="195">
        <v>3770764</v>
      </c>
      <c r="F550" s="195">
        <v>4252062.17</v>
      </c>
      <c r="G550" s="195">
        <v>3486587.7</v>
      </c>
      <c r="H550" s="195">
        <v>4084738.19</v>
      </c>
      <c r="I550" s="195">
        <v>4258825.8099999996</v>
      </c>
    </row>
    <row r="551" spans="1:9" x14ac:dyDescent="0.2">
      <c r="A551" s="193">
        <v>1623000751</v>
      </c>
      <c r="B551" s="193" t="s">
        <v>641</v>
      </c>
      <c r="C551" s="195">
        <v>75000</v>
      </c>
      <c r="D551" s="195">
        <v>59752</v>
      </c>
      <c r="E551" s="195">
        <v>75000</v>
      </c>
    </row>
    <row r="552" spans="1:9" x14ac:dyDescent="0.2">
      <c r="A552" s="193">
        <v>1623000752</v>
      </c>
      <c r="B552" s="193" t="s">
        <v>1223</v>
      </c>
      <c r="I552" s="195">
        <v>692427</v>
      </c>
    </row>
    <row r="553" spans="1:9" x14ac:dyDescent="0.2">
      <c r="A553" s="193">
        <v>1623000753</v>
      </c>
      <c r="B553" s="193" t="s">
        <v>32</v>
      </c>
      <c r="C553" s="195">
        <v>1000000</v>
      </c>
      <c r="D553" s="195">
        <v>615297.91</v>
      </c>
      <c r="E553" s="195">
        <v>800000</v>
      </c>
      <c r="F553" s="195">
        <v>1868273.72</v>
      </c>
      <c r="G553" s="195">
        <v>1005212.52</v>
      </c>
    </row>
    <row r="554" spans="1:9" x14ac:dyDescent="0.2">
      <c r="A554" s="193">
        <v>1623000780</v>
      </c>
      <c r="B554" s="193" t="s">
        <v>642</v>
      </c>
      <c r="C554" s="195">
        <v>130000</v>
      </c>
      <c r="D554" s="195">
        <v>99076.97</v>
      </c>
      <c r="E554" s="195">
        <v>130000</v>
      </c>
      <c r="F554" s="195">
        <v>171053.78</v>
      </c>
      <c r="G554" s="195">
        <v>128192.6</v>
      </c>
      <c r="H554" s="195">
        <v>110594.32</v>
      </c>
      <c r="I554" s="195">
        <v>15870.37</v>
      </c>
    </row>
    <row r="555" spans="1:9" x14ac:dyDescent="0.2">
      <c r="A555" s="193">
        <v>1623000930</v>
      </c>
      <c r="B555" s="193" t="s">
        <v>643</v>
      </c>
      <c r="C555" s="195">
        <v>2000</v>
      </c>
      <c r="E555" s="195">
        <v>2000</v>
      </c>
      <c r="F555" s="195">
        <v>1073.8</v>
      </c>
      <c r="G555" s="195">
        <v>1250</v>
      </c>
      <c r="I555" s="195">
        <v>3652</v>
      </c>
    </row>
    <row r="556" spans="1:9" x14ac:dyDescent="0.2">
      <c r="A556" s="193">
        <v>1623000981</v>
      </c>
      <c r="B556" s="193" t="s">
        <v>74</v>
      </c>
      <c r="F556" s="195">
        <v>161</v>
      </c>
    </row>
    <row r="557" spans="1:9" x14ac:dyDescent="0.2">
      <c r="A557" s="193">
        <v>1631000610</v>
      </c>
      <c r="B557" s="193" t="s">
        <v>1069</v>
      </c>
      <c r="C557" s="195">
        <v>600000</v>
      </c>
      <c r="D557" s="195">
        <v>409336.37</v>
      </c>
      <c r="E557" s="195">
        <v>600000</v>
      </c>
      <c r="F557" s="195">
        <v>656530.48</v>
      </c>
      <c r="G557" s="195">
        <v>554445.21</v>
      </c>
      <c r="H557" s="195">
        <v>1181392.47</v>
      </c>
      <c r="I557" s="195">
        <v>633102.86</v>
      </c>
    </row>
    <row r="558" spans="1:9" x14ac:dyDescent="0.2">
      <c r="A558" s="193">
        <v>1631100610</v>
      </c>
      <c r="B558" s="193" t="s">
        <v>1070</v>
      </c>
      <c r="C558" s="195">
        <v>300000</v>
      </c>
      <c r="D558" s="195">
        <v>78672.56</v>
      </c>
      <c r="E558" s="195">
        <v>300000</v>
      </c>
      <c r="F558" s="195">
        <v>283651.84999999998</v>
      </c>
      <c r="G558" s="195">
        <v>448522.78</v>
      </c>
      <c r="H558" s="195">
        <v>265344.82</v>
      </c>
      <c r="I558" s="195">
        <v>434978.6</v>
      </c>
    </row>
    <row r="559" spans="1:9" x14ac:dyDescent="0.2">
      <c r="A559" s="193">
        <v>1632000620</v>
      </c>
      <c r="B559" s="193" t="s">
        <v>1071</v>
      </c>
      <c r="C559" s="195">
        <v>150000</v>
      </c>
      <c r="D559" s="195">
        <v>161166.59</v>
      </c>
      <c r="E559" s="195">
        <v>150000</v>
      </c>
      <c r="F559" s="195">
        <v>129795.81</v>
      </c>
      <c r="G559" s="195">
        <v>94124.32</v>
      </c>
      <c r="H559" s="195">
        <v>249335.19</v>
      </c>
      <c r="I559" s="195">
        <v>355139.16</v>
      </c>
    </row>
    <row r="560" spans="1:9" x14ac:dyDescent="0.2">
      <c r="A560" s="193">
        <v>1632000621</v>
      </c>
      <c r="B560" s="193" t="s">
        <v>33</v>
      </c>
    </row>
    <row r="561" spans="1:9" x14ac:dyDescent="0.2">
      <c r="A561" s="193">
        <v>1632000622</v>
      </c>
      <c r="B561" s="193" t="s">
        <v>1128</v>
      </c>
      <c r="F561" s="195">
        <v>-19991</v>
      </c>
      <c r="G561" s="195">
        <v>-372811.02</v>
      </c>
      <c r="H561" s="195">
        <v>108886</v>
      </c>
    </row>
    <row r="562" spans="1:9" x14ac:dyDescent="0.2">
      <c r="A562" s="193">
        <v>1632000623</v>
      </c>
      <c r="B562" s="193" t="s">
        <v>1072</v>
      </c>
      <c r="C562" s="195">
        <v>500000</v>
      </c>
      <c r="E562" s="195">
        <v>500000</v>
      </c>
      <c r="F562" s="195">
        <v>682545.16</v>
      </c>
      <c r="G562" s="195">
        <v>612271.53</v>
      </c>
      <c r="H562" s="195">
        <v>599000</v>
      </c>
      <c r="I562" s="195">
        <v>447805</v>
      </c>
    </row>
    <row r="563" spans="1:9" x14ac:dyDescent="0.2">
      <c r="A563" s="193">
        <v>1649000691</v>
      </c>
      <c r="B563" s="193" t="s">
        <v>1226</v>
      </c>
      <c r="D563" s="195">
        <v>12607.71</v>
      </c>
      <c r="F563" s="195">
        <v>16810.28</v>
      </c>
      <c r="G563" s="195">
        <v>16810.28</v>
      </c>
      <c r="H563" s="195">
        <v>16810.28</v>
      </c>
      <c r="I563" s="195">
        <v>16810.28</v>
      </c>
    </row>
    <row r="564" spans="1:9" x14ac:dyDescent="0.2">
      <c r="A564" s="193">
        <v>1649000692</v>
      </c>
      <c r="B564" s="193" t="s">
        <v>34</v>
      </c>
      <c r="D564" s="195">
        <v>9140.6</v>
      </c>
      <c r="F564" s="195">
        <v>12922.91</v>
      </c>
      <c r="G564" s="195">
        <v>13724.91</v>
      </c>
      <c r="H564" s="195">
        <v>14602.19</v>
      </c>
      <c r="I564" s="195">
        <v>15587.07</v>
      </c>
    </row>
    <row r="565" spans="1:9" x14ac:dyDescent="0.2">
      <c r="A565" s="193">
        <v>1649000693</v>
      </c>
      <c r="B565" s="193" t="s">
        <v>35</v>
      </c>
      <c r="D565" s="195">
        <v>2263.33</v>
      </c>
      <c r="F565" s="195">
        <v>3339.72</v>
      </c>
      <c r="G565" s="195">
        <v>3255.04</v>
      </c>
      <c r="H565" s="195">
        <v>2682.9</v>
      </c>
      <c r="I565" s="195">
        <v>2043.17</v>
      </c>
    </row>
    <row r="566" spans="1:9" x14ac:dyDescent="0.2">
      <c r="A566" s="193">
        <v>1649000694</v>
      </c>
      <c r="B566" s="193" t="s">
        <v>1064</v>
      </c>
      <c r="C566" s="195">
        <v>1937497</v>
      </c>
      <c r="D566" s="195">
        <v>1449531.33</v>
      </c>
      <c r="E566" s="195">
        <v>1937497</v>
      </c>
      <c r="F566" s="195">
        <v>1984611.76</v>
      </c>
      <c r="G566" s="195">
        <v>2017028.43</v>
      </c>
      <c r="H566" s="195">
        <v>2093421.92</v>
      </c>
      <c r="I566" s="195">
        <v>2104298</v>
      </c>
    </row>
    <row r="567" spans="1:9" x14ac:dyDescent="0.2">
      <c r="A567" s="193">
        <v>1649000695</v>
      </c>
      <c r="B567" s="193" t="s">
        <v>1065</v>
      </c>
      <c r="C567" s="195">
        <v>382415</v>
      </c>
      <c r="D567" s="195">
        <v>255791.63</v>
      </c>
      <c r="E567" s="195">
        <v>382415</v>
      </c>
      <c r="F567" s="195">
        <v>476441.56</v>
      </c>
      <c r="G567" s="195">
        <v>692760.45</v>
      </c>
      <c r="H567" s="195">
        <v>978699.91</v>
      </c>
      <c r="I567" s="195">
        <v>1156049.53</v>
      </c>
    </row>
    <row r="568" spans="1:9" x14ac:dyDescent="0.2">
      <c r="A568" s="193">
        <v>1649000696</v>
      </c>
      <c r="B568" s="193" t="s">
        <v>1066</v>
      </c>
      <c r="C568" s="195">
        <v>132292</v>
      </c>
      <c r="D568" s="195">
        <v>103140.37</v>
      </c>
      <c r="E568" s="195">
        <v>132292</v>
      </c>
      <c r="F568" s="195">
        <v>194233.75</v>
      </c>
      <c r="G568" s="195">
        <v>233661.57</v>
      </c>
      <c r="H568" s="195">
        <v>344911.23</v>
      </c>
      <c r="I568" s="195">
        <v>359166.62</v>
      </c>
    </row>
    <row r="569" spans="1:9" x14ac:dyDescent="0.2">
      <c r="A569" s="193">
        <v>1649100691</v>
      </c>
      <c r="B569" s="193" t="s">
        <v>1059</v>
      </c>
      <c r="C569" s="195">
        <v>7014607</v>
      </c>
      <c r="D569" s="195">
        <v>4874314.42</v>
      </c>
      <c r="E569" s="195">
        <v>7014607</v>
      </c>
      <c r="F569" s="195">
        <v>6272863.3399999999</v>
      </c>
      <c r="G569" s="195">
        <v>5760741.4900000002</v>
      </c>
      <c r="H569" s="195">
        <v>5375701.79</v>
      </c>
      <c r="I569" s="195">
        <v>5551892.8799999999</v>
      </c>
    </row>
    <row r="570" spans="1:9" x14ac:dyDescent="0.2">
      <c r="A570" s="193">
        <v>1649100692</v>
      </c>
      <c r="B570" s="193" t="s">
        <v>1060</v>
      </c>
      <c r="C570" s="195">
        <v>1908197</v>
      </c>
      <c r="D570" s="195">
        <v>1295366.94</v>
      </c>
      <c r="E570" s="195">
        <v>1908197</v>
      </c>
      <c r="F570" s="195">
        <v>1928481.81</v>
      </c>
      <c r="G570" s="195">
        <v>2145954.73</v>
      </c>
      <c r="H570" s="195">
        <v>2444910.7000000002</v>
      </c>
      <c r="I570" s="195">
        <v>2707912.8</v>
      </c>
    </row>
    <row r="571" spans="1:9" x14ac:dyDescent="0.2">
      <c r="A571" s="193">
        <v>1649100693</v>
      </c>
      <c r="B571" s="193" t="s">
        <v>1061</v>
      </c>
      <c r="C571" s="195">
        <v>748441</v>
      </c>
      <c r="D571" s="195">
        <v>510245.3</v>
      </c>
      <c r="E571" s="195">
        <v>748441</v>
      </c>
      <c r="F571" s="195">
        <v>794505.45</v>
      </c>
      <c r="G571" s="195">
        <v>779348.47999999998</v>
      </c>
      <c r="H571" s="195">
        <v>740030.61</v>
      </c>
      <c r="I571" s="195">
        <v>828966.28</v>
      </c>
    </row>
    <row r="572" spans="1:9" x14ac:dyDescent="0.2">
      <c r="A572" s="193">
        <v>1700000981</v>
      </c>
      <c r="B572" s="193" t="s">
        <v>74</v>
      </c>
      <c r="F572" s="195">
        <v>175</v>
      </c>
    </row>
    <row r="573" spans="1:9" x14ac:dyDescent="0.2">
      <c r="A573" s="193">
        <v>1710000399</v>
      </c>
      <c r="B573" s="193" t="s">
        <v>24</v>
      </c>
    </row>
    <row r="574" spans="1:9" x14ac:dyDescent="0.2">
      <c r="A574" s="193">
        <v>1711000110</v>
      </c>
      <c r="B574" s="193" t="s">
        <v>521</v>
      </c>
      <c r="C574" s="195">
        <v>1468860</v>
      </c>
      <c r="D574" s="195">
        <v>1131040.45</v>
      </c>
      <c r="E574" s="195">
        <v>1468860</v>
      </c>
      <c r="F574" s="195">
        <v>1568674.15</v>
      </c>
      <c r="G574" s="195">
        <v>1553984.81</v>
      </c>
      <c r="H574" s="195">
        <v>1215608.92</v>
      </c>
      <c r="I574" s="195">
        <v>1158145.06</v>
      </c>
    </row>
    <row r="575" spans="1:9" x14ac:dyDescent="0.2">
      <c r="A575" s="193">
        <v>1711000511</v>
      </c>
      <c r="B575" s="193" t="s">
        <v>644</v>
      </c>
      <c r="C575" s="195">
        <v>1800</v>
      </c>
      <c r="D575" s="195">
        <v>1800</v>
      </c>
      <c r="E575" s="195">
        <v>1800</v>
      </c>
      <c r="F575" s="195">
        <v>1800</v>
      </c>
      <c r="G575" s="195">
        <v>4909.1000000000004</v>
      </c>
      <c r="H575" s="195">
        <v>1800</v>
      </c>
    </row>
    <row r="576" spans="1:9" x14ac:dyDescent="0.2">
      <c r="A576" s="193">
        <v>1711000512</v>
      </c>
      <c r="B576" s="193" t="s">
        <v>645</v>
      </c>
      <c r="C576" s="195">
        <v>1500</v>
      </c>
      <c r="E576" s="195">
        <v>1500</v>
      </c>
      <c r="F576" s="195">
        <v>4920</v>
      </c>
      <c r="G576" s="195">
        <v>625</v>
      </c>
    </row>
    <row r="577" spans="1:9" x14ac:dyDescent="0.2">
      <c r="A577" s="193">
        <v>1711000521</v>
      </c>
      <c r="B577" s="193" t="s">
        <v>646</v>
      </c>
      <c r="C577" s="195">
        <v>10000</v>
      </c>
      <c r="E577" s="195">
        <v>10000</v>
      </c>
      <c r="F577" s="195">
        <v>2000</v>
      </c>
      <c r="G577" s="195">
        <v>2600</v>
      </c>
      <c r="H577" s="195">
        <v>2398</v>
      </c>
      <c r="I577" s="195">
        <v>1919.99</v>
      </c>
    </row>
    <row r="578" spans="1:9" x14ac:dyDescent="0.2">
      <c r="A578" s="193">
        <v>1711000560</v>
      </c>
      <c r="B578" s="193" t="s">
        <v>647</v>
      </c>
      <c r="C578" s="195">
        <v>7000</v>
      </c>
      <c r="D578" s="195">
        <v>7573.89</v>
      </c>
      <c r="E578" s="195">
        <v>7000</v>
      </c>
      <c r="F578" s="195">
        <v>8360.58</v>
      </c>
      <c r="G578" s="195">
        <v>7337.13</v>
      </c>
      <c r="H578" s="195">
        <v>3442.61</v>
      </c>
      <c r="I578" s="195">
        <v>5350.83</v>
      </c>
    </row>
    <row r="579" spans="1:9" x14ac:dyDescent="0.2">
      <c r="A579" s="193">
        <v>1711000570</v>
      </c>
      <c r="B579" s="193" t="s">
        <v>36</v>
      </c>
    </row>
    <row r="580" spans="1:9" x14ac:dyDescent="0.2">
      <c r="A580" s="193">
        <v>1711000580</v>
      </c>
      <c r="B580" s="193" t="s">
        <v>648</v>
      </c>
      <c r="D580" s="195">
        <v>224.71</v>
      </c>
      <c r="G580" s="195">
        <v>861.9</v>
      </c>
      <c r="H580" s="195">
        <v>2973</v>
      </c>
      <c r="I580" s="195">
        <v>2000</v>
      </c>
    </row>
    <row r="581" spans="1:9" x14ac:dyDescent="0.2">
      <c r="A581" s="193">
        <v>1711000731</v>
      </c>
      <c r="B581" s="193" t="s">
        <v>1527</v>
      </c>
      <c r="C581" s="195">
        <v>26500</v>
      </c>
      <c r="D581" s="195">
        <v>18658.310000000001</v>
      </c>
      <c r="E581" s="195">
        <v>26500</v>
      </c>
      <c r="F581" s="195">
        <v>35598.870000000003</v>
      </c>
      <c r="G581" s="195">
        <v>25657.07</v>
      </c>
      <c r="H581" s="195">
        <v>20546.28</v>
      </c>
      <c r="I581" s="195">
        <v>47117.2</v>
      </c>
    </row>
    <row r="582" spans="1:9" x14ac:dyDescent="0.2">
      <c r="A582" s="193">
        <v>1711000760</v>
      </c>
      <c r="B582" s="193" t="s">
        <v>552</v>
      </c>
      <c r="G582" s="195">
        <v>13465.55</v>
      </c>
      <c r="H582" s="195">
        <v>34319.279999999999</v>
      </c>
      <c r="I582" s="195">
        <v>9997.39</v>
      </c>
    </row>
    <row r="583" spans="1:9" x14ac:dyDescent="0.2">
      <c r="A583" s="193">
        <v>1711000780</v>
      </c>
      <c r="B583" s="193" t="s">
        <v>650</v>
      </c>
      <c r="C583" s="195">
        <v>3500</v>
      </c>
      <c r="D583" s="195">
        <v>2890</v>
      </c>
      <c r="E583" s="195">
        <v>3500</v>
      </c>
      <c r="F583" s="195">
        <v>78077.58</v>
      </c>
      <c r="G583" s="195">
        <v>3124.3</v>
      </c>
      <c r="H583" s="195">
        <v>1050.72</v>
      </c>
      <c r="I583" s="195">
        <v>3690.22</v>
      </c>
    </row>
    <row r="584" spans="1:9" x14ac:dyDescent="0.2">
      <c r="A584" s="193">
        <v>1711000930</v>
      </c>
      <c r="B584" s="193" t="s">
        <v>651</v>
      </c>
      <c r="C584" s="195">
        <v>10000</v>
      </c>
      <c r="E584" s="195">
        <v>10000</v>
      </c>
      <c r="F584" s="195">
        <v>2540</v>
      </c>
      <c r="G584" s="195">
        <v>10000</v>
      </c>
      <c r="H584" s="195">
        <v>9500</v>
      </c>
      <c r="I584" s="195">
        <v>9559.07</v>
      </c>
    </row>
    <row r="585" spans="1:9" x14ac:dyDescent="0.2">
      <c r="A585" s="193">
        <v>1711001731</v>
      </c>
      <c r="B585" s="193" t="s">
        <v>37</v>
      </c>
    </row>
    <row r="586" spans="1:9" x14ac:dyDescent="0.2">
      <c r="A586" s="193">
        <v>1711100980</v>
      </c>
      <c r="B586" s="193" t="s">
        <v>652</v>
      </c>
      <c r="C586" s="195">
        <v>130000</v>
      </c>
      <c r="D586" s="195">
        <v>25594</v>
      </c>
      <c r="E586" s="195">
        <v>137000</v>
      </c>
      <c r="F586" s="195">
        <v>54487.5</v>
      </c>
      <c r="G586" s="195">
        <v>117894.03</v>
      </c>
      <c r="H586" s="195">
        <v>128056.26</v>
      </c>
      <c r="I586" s="195">
        <v>118293.97</v>
      </c>
    </row>
    <row r="587" spans="1:9" x14ac:dyDescent="0.2">
      <c r="A587" s="193">
        <v>1712000110</v>
      </c>
      <c r="B587" s="193" t="s">
        <v>38</v>
      </c>
      <c r="C587" s="195">
        <v>1809444</v>
      </c>
      <c r="D587" s="195">
        <v>1394605.33</v>
      </c>
      <c r="E587" s="195">
        <v>1809444</v>
      </c>
      <c r="F587" s="195">
        <v>1608773.59</v>
      </c>
      <c r="G587" s="195">
        <v>390136.02</v>
      </c>
    </row>
    <row r="588" spans="1:9" x14ac:dyDescent="0.2">
      <c r="A588" s="193">
        <v>1712000731</v>
      </c>
      <c r="B588" s="193" t="s">
        <v>46</v>
      </c>
      <c r="C588" s="195">
        <v>105000</v>
      </c>
      <c r="D588" s="195">
        <v>71592.160000000003</v>
      </c>
      <c r="E588" s="195">
        <v>130000</v>
      </c>
      <c r="F588" s="195">
        <v>114228.45</v>
      </c>
      <c r="G588" s="195">
        <v>41649.480000000003</v>
      </c>
    </row>
    <row r="589" spans="1:9" x14ac:dyDescent="0.2">
      <c r="A589" s="193">
        <v>1712000750</v>
      </c>
      <c r="B589" s="193" t="s">
        <v>714</v>
      </c>
      <c r="F589" s="195">
        <v>14430</v>
      </c>
    </row>
    <row r="590" spans="1:9" x14ac:dyDescent="0.2">
      <c r="A590" s="193">
        <v>1712000811</v>
      </c>
      <c r="B590" s="193" t="s">
        <v>39</v>
      </c>
    </row>
    <row r="591" spans="1:9" x14ac:dyDescent="0.2">
      <c r="A591" s="193">
        <v>1712000910</v>
      </c>
      <c r="B591" s="193" t="s">
        <v>704</v>
      </c>
    </row>
    <row r="592" spans="1:9" x14ac:dyDescent="0.2">
      <c r="A592" s="193">
        <v>1712001731</v>
      </c>
      <c r="B592" s="193" t="s">
        <v>47</v>
      </c>
      <c r="C592" s="195">
        <v>110000</v>
      </c>
      <c r="D592" s="195">
        <v>76802.259999999995</v>
      </c>
      <c r="E592" s="195">
        <v>110000</v>
      </c>
      <c r="F592" s="195">
        <v>104951.07</v>
      </c>
      <c r="G592" s="195">
        <v>36051.370000000003</v>
      </c>
    </row>
    <row r="593" spans="1:9" x14ac:dyDescent="0.2">
      <c r="A593" s="193">
        <v>1712002731</v>
      </c>
      <c r="B593" s="193" t="s">
        <v>256</v>
      </c>
      <c r="C593" s="195">
        <v>110000</v>
      </c>
      <c r="D593" s="195">
        <v>79158.42</v>
      </c>
      <c r="E593" s="195">
        <v>110000</v>
      </c>
      <c r="F593" s="195">
        <v>111327.81</v>
      </c>
      <c r="G593" s="195">
        <v>26037.22</v>
      </c>
    </row>
    <row r="594" spans="1:9" x14ac:dyDescent="0.2">
      <c r="A594" s="193">
        <v>1712003731</v>
      </c>
      <c r="B594" s="193" t="s">
        <v>257</v>
      </c>
      <c r="C594" s="195">
        <v>84000</v>
      </c>
      <c r="D594" s="195">
        <v>56447.3</v>
      </c>
      <c r="E594" s="195">
        <v>110000</v>
      </c>
      <c r="F594" s="195">
        <v>105752.65</v>
      </c>
      <c r="G594" s="195">
        <v>17204.599999999999</v>
      </c>
    </row>
    <row r="595" spans="1:9" x14ac:dyDescent="0.2">
      <c r="A595" s="193">
        <v>1712004731</v>
      </c>
      <c r="B595" s="193" t="s">
        <v>104</v>
      </c>
      <c r="C595" s="195">
        <v>65000</v>
      </c>
      <c r="D595" s="195">
        <v>41817.61</v>
      </c>
      <c r="E595" s="195">
        <v>112000</v>
      </c>
      <c r="F595" s="195">
        <v>28836.89</v>
      </c>
      <c r="G595" s="195">
        <v>8958.61</v>
      </c>
    </row>
    <row r="596" spans="1:9" x14ac:dyDescent="0.2">
      <c r="A596" s="193">
        <v>1712005731</v>
      </c>
      <c r="B596" s="193" t="s">
        <v>1526</v>
      </c>
      <c r="C596" s="195">
        <v>100000</v>
      </c>
      <c r="D596" s="195">
        <v>27360.16</v>
      </c>
    </row>
    <row r="597" spans="1:9" x14ac:dyDescent="0.2">
      <c r="A597" s="193">
        <v>1712006731</v>
      </c>
      <c r="B597" s="193" t="s">
        <v>1525</v>
      </c>
      <c r="C597" s="195">
        <v>100000</v>
      </c>
      <c r="D597" s="195">
        <v>29152.1</v>
      </c>
    </row>
    <row r="598" spans="1:9" x14ac:dyDescent="0.2">
      <c r="A598" s="193">
        <v>1712200110</v>
      </c>
      <c r="B598" s="193" t="s">
        <v>521</v>
      </c>
      <c r="C598" s="195">
        <v>204765</v>
      </c>
      <c r="D598" s="195">
        <v>167946.59</v>
      </c>
      <c r="E598" s="195">
        <v>204765</v>
      </c>
      <c r="F598" s="195">
        <v>233346.11</v>
      </c>
      <c r="G598" s="195">
        <v>386301.57</v>
      </c>
      <c r="H598" s="195">
        <v>442905.66</v>
      </c>
      <c r="I598" s="195">
        <v>423618.19</v>
      </c>
    </row>
    <row r="599" spans="1:9" x14ac:dyDescent="0.2">
      <c r="A599" s="193">
        <v>1712200210</v>
      </c>
      <c r="B599" s="193" t="s">
        <v>248</v>
      </c>
    </row>
    <row r="600" spans="1:9" x14ac:dyDescent="0.2">
      <c r="A600" s="193">
        <v>1712200731</v>
      </c>
      <c r="B600" s="193" t="s">
        <v>105</v>
      </c>
      <c r="G600" s="195">
        <v>9101.39</v>
      </c>
      <c r="H600" s="195">
        <v>13769.07</v>
      </c>
      <c r="I600" s="195">
        <v>12006.15</v>
      </c>
    </row>
    <row r="601" spans="1:9" x14ac:dyDescent="0.2">
      <c r="A601" s="193">
        <v>1712200740</v>
      </c>
      <c r="B601" s="193" t="s">
        <v>654</v>
      </c>
      <c r="F601" s="195">
        <v>10000</v>
      </c>
      <c r="G601" s="195">
        <v>10000</v>
      </c>
      <c r="H601" s="195">
        <v>10000</v>
      </c>
      <c r="I601" s="195">
        <v>9430</v>
      </c>
    </row>
    <row r="602" spans="1:9" x14ac:dyDescent="0.2">
      <c r="A602" s="193">
        <v>1712200750</v>
      </c>
      <c r="B602" s="193" t="s">
        <v>655</v>
      </c>
      <c r="F602" s="195">
        <v>411353.13</v>
      </c>
      <c r="G602" s="195">
        <v>395980</v>
      </c>
      <c r="H602" s="195">
        <v>500000</v>
      </c>
      <c r="I602" s="195">
        <v>500000</v>
      </c>
    </row>
    <row r="603" spans="1:9" x14ac:dyDescent="0.2">
      <c r="A603" s="193">
        <v>1712200751</v>
      </c>
      <c r="B603" s="193" t="s">
        <v>656</v>
      </c>
      <c r="C603" s="195">
        <v>8500000</v>
      </c>
      <c r="D603" s="195">
        <v>4453577</v>
      </c>
      <c r="E603" s="195">
        <v>8660000</v>
      </c>
      <c r="F603" s="195">
        <v>7877400</v>
      </c>
      <c r="G603" s="195">
        <v>6517709</v>
      </c>
      <c r="H603" s="195">
        <v>5830268.5999999996</v>
      </c>
      <c r="I603" s="195">
        <v>5373285</v>
      </c>
    </row>
    <row r="604" spans="1:9" x14ac:dyDescent="0.2">
      <c r="A604" s="193">
        <v>1712200752</v>
      </c>
      <c r="B604" s="193" t="s">
        <v>657</v>
      </c>
      <c r="C604" s="195">
        <v>85000</v>
      </c>
      <c r="D604" s="195">
        <v>66000</v>
      </c>
      <c r="E604" s="195">
        <v>85000</v>
      </c>
      <c r="F604" s="195">
        <v>72080</v>
      </c>
      <c r="G604" s="195">
        <v>106863.13</v>
      </c>
      <c r="H604" s="195">
        <v>13920</v>
      </c>
      <c r="I604" s="195">
        <v>52154</v>
      </c>
    </row>
    <row r="605" spans="1:9" x14ac:dyDescent="0.2">
      <c r="A605" s="193">
        <v>1712200753</v>
      </c>
      <c r="B605" s="193" t="s">
        <v>658</v>
      </c>
      <c r="C605" s="195">
        <v>10000</v>
      </c>
      <c r="D605" s="195">
        <v>12513.93</v>
      </c>
      <c r="E605" s="195">
        <v>10000</v>
      </c>
      <c r="F605" s="195">
        <v>18501.09</v>
      </c>
      <c r="G605" s="195">
        <v>4756.97</v>
      </c>
      <c r="H605" s="195">
        <v>7776.74</v>
      </c>
      <c r="I605" s="195">
        <v>8113.37</v>
      </c>
    </row>
    <row r="606" spans="1:9" x14ac:dyDescent="0.2">
      <c r="A606" s="193">
        <v>1712201731</v>
      </c>
      <c r="B606" s="193" t="s">
        <v>659</v>
      </c>
      <c r="C606" s="195">
        <v>12000</v>
      </c>
      <c r="D606" s="195">
        <v>5891.92</v>
      </c>
      <c r="E606" s="195">
        <v>12000</v>
      </c>
      <c r="F606" s="195">
        <v>11438.6</v>
      </c>
      <c r="G606" s="195">
        <v>11769.6</v>
      </c>
      <c r="H606" s="195">
        <v>15768.61</v>
      </c>
      <c r="I606" s="195">
        <v>16928</v>
      </c>
    </row>
    <row r="607" spans="1:9" x14ac:dyDescent="0.2">
      <c r="A607" s="193">
        <v>1712202731</v>
      </c>
      <c r="B607" s="193" t="s">
        <v>106</v>
      </c>
      <c r="F607" s="195">
        <v>3992.49</v>
      </c>
      <c r="G607" s="195">
        <v>10921.78</v>
      </c>
      <c r="H607" s="195">
        <v>22470.959999999999</v>
      </c>
      <c r="I607" s="195">
        <v>20859.34</v>
      </c>
    </row>
    <row r="608" spans="1:9" x14ac:dyDescent="0.2">
      <c r="A608" s="193">
        <v>1712203731</v>
      </c>
      <c r="B608" s="193" t="s">
        <v>107</v>
      </c>
      <c r="G608" s="195">
        <v>8962.2800000000007</v>
      </c>
      <c r="H608" s="195">
        <v>12945.34</v>
      </c>
      <c r="I608" s="195">
        <v>19814.89</v>
      </c>
    </row>
    <row r="609" spans="1:9" x14ac:dyDescent="0.2">
      <c r="A609" s="193">
        <v>1712204731</v>
      </c>
      <c r="B609" s="193" t="s">
        <v>108</v>
      </c>
      <c r="G609" s="195">
        <v>9236.5300000000007</v>
      </c>
      <c r="H609" s="195">
        <v>12912.8</v>
      </c>
      <c r="I609" s="195">
        <v>12187.59</v>
      </c>
    </row>
    <row r="610" spans="1:9" x14ac:dyDescent="0.2">
      <c r="A610" s="193">
        <v>1712205731</v>
      </c>
      <c r="B610" s="193" t="s">
        <v>109</v>
      </c>
      <c r="F610" s="195">
        <v>1002.74</v>
      </c>
      <c r="G610" s="195">
        <v>316.64</v>
      </c>
      <c r="H610" s="195">
        <v>2415.9299999999998</v>
      </c>
    </row>
    <row r="611" spans="1:9" x14ac:dyDescent="0.2">
      <c r="A611" s="193">
        <v>1712207731</v>
      </c>
      <c r="B611" s="193" t="s">
        <v>1524</v>
      </c>
    </row>
    <row r="612" spans="1:9" x14ac:dyDescent="0.2">
      <c r="A612" s="193">
        <v>1712210750</v>
      </c>
      <c r="B612" s="193" t="s">
        <v>75</v>
      </c>
      <c r="C612" s="195">
        <v>300000</v>
      </c>
      <c r="D612" s="195">
        <v>83961</v>
      </c>
      <c r="E612" s="195">
        <v>300000</v>
      </c>
      <c r="F612" s="195">
        <v>393754</v>
      </c>
    </row>
    <row r="613" spans="1:9" x14ac:dyDescent="0.2">
      <c r="A613" s="193">
        <v>1712300110</v>
      </c>
      <c r="B613" s="193" t="s">
        <v>522</v>
      </c>
      <c r="C613" s="195">
        <v>609803</v>
      </c>
      <c r="D613" s="195">
        <v>482784.88</v>
      </c>
      <c r="E613" s="195">
        <v>609803</v>
      </c>
      <c r="F613" s="195">
        <v>737861.27</v>
      </c>
      <c r="G613" s="195">
        <v>620532.09</v>
      </c>
      <c r="H613" s="195">
        <v>494148.35</v>
      </c>
      <c r="I613" s="195">
        <v>517856.84</v>
      </c>
    </row>
    <row r="614" spans="1:9" x14ac:dyDescent="0.2">
      <c r="A614" s="193">
        <v>1712300430</v>
      </c>
      <c r="B614" s="193" t="s">
        <v>663</v>
      </c>
    </row>
    <row r="615" spans="1:9" x14ac:dyDescent="0.2">
      <c r="A615" s="193">
        <v>1712300560</v>
      </c>
      <c r="B615" s="193" t="s">
        <v>664</v>
      </c>
      <c r="C615" s="195">
        <v>2000</v>
      </c>
      <c r="E615" s="195">
        <v>2000</v>
      </c>
      <c r="F615" s="195">
        <v>1985.04</v>
      </c>
      <c r="G615" s="195">
        <v>932.53</v>
      </c>
      <c r="H615" s="195">
        <v>1028.8</v>
      </c>
    </row>
    <row r="616" spans="1:9" x14ac:dyDescent="0.2">
      <c r="A616" s="193">
        <v>1712300740</v>
      </c>
      <c r="B616" s="193" t="s">
        <v>665</v>
      </c>
      <c r="C616" s="195">
        <v>3500</v>
      </c>
      <c r="D616" s="195">
        <v>1947</v>
      </c>
      <c r="E616" s="195">
        <v>3500</v>
      </c>
      <c r="G616" s="195">
        <v>3504.9</v>
      </c>
      <c r="H616" s="195">
        <v>2525</v>
      </c>
      <c r="I616" s="195">
        <v>2668.77</v>
      </c>
    </row>
    <row r="617" spans="1:9" x14ac:dyDescent="0.2">
      <c r="A617" s="193">
        <v>1712300750</v>
      </c>
      <c r="B617" s="193" t="s">
        <v>666</v>
      </c>
      <c r="C617" s="195">
        <v>6500000</v>
      </c>
      <c r="D617" s="195">
        <v>4538176</v>
      </c>
      <c r="E617" s="195">
        <v>7409341</v>
      </c>
      <c r="F617" s="195">
        <v>7407099</v>
      </c>
      <c r="G617" s="195">
        <v>7298799</v>
      </c>
      <c r="H617" s="195">
        <v>6478438</v>
      </c>
      <c r="I617" s="195">
        <v>5400163</v>
      </c>
    </row>
    <row r="618" spans="1:9" x14ac:dyDescent="0.2">
      <c r="A618" s="193">
        <v>1712300751</v>
      </c>
      <c r="B618" s="193" t="s">
        <v>667</v>
      </c>
      <c r="G618" s="195">
        <v>1856844.86</v>
      </c>
      <c r="H618" s="195">
        <v>2098396.9500000002</v>
      </c>
      <c r="I618" s="195">
        <v>2007473.54</v>
      </c>
    </row>
    <row r="619" spans="1:9" x14ac:dyDescent="0.2">
      <c r="A619" s="193">
        <v>1712300752</v>
      </c>
      <c r="B619" s="193" t="s">
        <v>668</v>
      </c>
      <c r="C619" s="195">
        <v>304440</v>
      </c>
      <c r="D619" s="195">
        <v>181319</v>
      </c>
      <c r="E619" s="195">
        <v>304440</v>
      </c>
      <c r="F619" s="195">
        <v>562578.24</v>
      </c>
      <c r="G619" s="195">
        <v>317173</v>
      </c>
      <c r="H619" s="195">
        <v>347789</v>
      </c>
      <c r="I619" s="195">
        <v>295794</v>
      </c>
    </row>
    <row r="620" spans="1:9" x14ac:dyDescent="0.2">
      <c r="A620" s="193">
        <v>1712300753</v>
      </c>
      <c r="B620" s="193" t="s">
        <v>669</v>
      </c>
      <c r="D620" s="195">
        <v>511984.45</v>
      </c>
      <c r="E620" s="195">
        <v>517500</v>
      </c>
      <c r="F620" s="195">
        <v>1023213</v>
      </c>
      <c r="G620" s="195">
        <v>1010131</v>
      </c>
      <c r="H620" s="195">
        <v>970552.04</v>
      </c>
      <c r="I620" s="195">
        <v>948564</v>
      </c>
    </row>
    <row r="621" spans="1:9" x14ac:dyDescent="0.2">
      <c r="A621" s="193">
        <v>1712300754</v>
      </c>
      <c r="B621" s="193" t="s">
        <v>670</v>
      </c>
      <c r="G621" s="195">
        <v>107058.26</v>
      </c>
      <c r="H621" s="195">
        <v>212092.92</v>
      </c>
      <c r="I621" s="195">
        <v>181057</v>
      </c>
    </row>
    <row r="622" spans="1:9" x14ac:dyDescent="0.2">
      <c r="A622" s="193">
        <v>1712300755</v>
      </c>
      <c r="B622" s="193" t="s">
        <v>671</v>
      </c>
      <c r="C622" s="195">
        <v>145515</v>
      </c>
      <c r="D622" s="195">
        <v>87833</v>
      </c>
      <c r="E622" s="195">
        <v>145515</v>
      </c>
      <c r="F622" s="195">
        <v>52557</v>
      </c>
      <c r="G622" s="195">
        <v>162219.74</v>
      </c>
      <c r="H622" s="195">
        <v>113042.31</v>
      </c>
      <c r="I622" s="195">
        <v>73222</v>
      </c>
    </row>
    <row r="623" spans="1:9" x14ac:dyDescent="0.2">
      <c r="A623" s="193">
        <v>1712300756</v>
      </c>
      <c r="B623" s="193" t="s">
        <v>1229</v>
      </c>
      <c r="C623" s="195">
        <v>87000</v>
      </c>
      <c r="D623" s="195">
        <v>42209</v>
      </c>
      <c r="E623" s="195">
        <v>128400</v>
      </c>
      <c r="F623" s="195">
        <v>123045</v>
      </c>
      <c r="G623" s="195">
        <v>44155</v>
      </c>
      <c r="I623" s="195">
        <v>21457</v>
      </c>
    </row>
    <row r="624" spans="1:9" x14ac:dyDescent="0.2">
      <c r="A624" s="193">
        <v>1712300757</v>
      </c>
      <c r="B624" s="193" t="s">
        <v>1523</v>
      </c>
      <c r="C624" s="195">
        <v>25000</v>
      </c>
      <c r="E624" s="195">
        <v>15000</v>
      </c>
    </row>
    <row r="625" spans="1:9" x14ac:dyDescent="0.2">
      <c r="A625" s="193">
        <v>1712301731</v>
      </c>
      <c r="B625" s="193" t="s">
        <v>43</v>
      </c>
      <c r="H625" s="195">
        <v>1113</v>
      </c>
    </row>
    <row r="626" spans="1:9" x14ac:dyDescent="0.2">
      <c r="A626" s="193">
        <v>1712302731</v>
      </c>
      <c r="B626" s="193" t="s">
        <v>44</v>
      </c>
    </row>
    <row r="627" spans="1:9" x14ac:dyDescent="0.2">
      <c r="A627" s="193">
        <v>1712303731</v>
      </c>
      <c r="B627" s="193" t="s">
        <v>672</v>
      </c>
      <c r="C627" s="195">
        <v>130000</v>
      </c>
      <c r="D627" s="195">
        <v>97631.82</v>
      </c>
      <c r="E627" s="195">
        <v>150000</v>
      </c>
      <c r="F627" s="195">
        <v>155995.76</v>
      </c>
      <c r="G627" s="195">
        <v>137336.19</v>
      </c>
      <c r="H627" s="195">
        <v>45749.72</v>
      </c>
      <c r="I627" s="195">
        <v>36119.83</v>
      </c>
    </row>
    <row r="628" spans="1:9" x14ac:dyDescent="0.2">
      <c r="A628" s="193">
        <v>1712304731</v>
      </c>
      <c r="B628" s="193" t="s">
        <v>673</v>
      </c>
      <c r="C628" s="195">
        <v>240000</v>
      </c>
      <c r="D628" s="195">
        <v>153856.62</v>
      </c>
      <c r="E628" s="195">
        <v>300000</v>
      </c>
      <c r="F628" s="195">
        <v>263312.5</v>
      </c>
      <c r="G628" s="195">
        <v>287118.90999999997</v>
      </c>
      <c r="H628" s="195">
        <v>329990.23</v>
      </c>
      <c r="I628" s="195">
        <v>241352.06</v>
      </c>
    </row>
    <row r="629" spans="1:9" x14ac:dyDescent="0.2">
      <c r="A629" s="193">
        <v>1712305731</v>
      </c>
      <c r="B629" s="193" t="s">
        <v>110</v>
      </c>
      <c r="D629" s="195">
        <v>1463</v>
      </c>
      <c r="F629" s="195">
        <v>2658.94</v>
      </c>
      <c r="G629" s="195">
        <v>8199.9500000000007</v>
      </c>
      <c r="H629" s="195">
        <v>13395.54</v>
      </c>
      <c r="I629" s="195">
        <v>12909.11</v>
      </c>
    </row>
    <row r="630" spans="1:9" x14ac:dyDescent="0.2">
      <c r="A630" s="193">
        <v>1712306731</v>
      </c>
      <c r="B630" s="193" t="s">
        <v>1230</v>
      </c>
      <c r="C630" s="195">
        <v>1500</v>
      </c>
      <c r="D630" s="195">
        <v>515</v>
      </c>
      <c r="E630" s="195">
        <v>1500</v>
      </c>
      <c r="G630" s="195">
        <v>1683</v>
      </c>
    </row>
    <row r="631" spans="1:9" x14ac:dyDescent="0.2">
      <c r="A631" s="193">
        <v>1712307731</v>
      </c>
      <c r="B631" s="193" t="s">
        <v>111</v>
      </c>
      <c r="G631" s="195">
        <v>2756</v>
      </c>
      <c r="H631" s="195">
        <v>5118</v>
      </c>
      <c r="I631" s="195">
        <v>4477</v>
      </c>
    </row>
    <row r="632" spans="1:9" x14ac:dyDescent="0.2">
      <c r="A632" s="193">
        <v>1712308731</v>
      </c>
      <c r="B632" s="193" t="s">
        <v>45</v>
      </c>
    </row>
    <row r="633" spans="1:9" x14ac:dyDescent="0.2">
      <c r="A633" s="193">
        <v>1712309530</v>
      </c>
      <c r="B633" s="193" t="s">
        <v>1522</v>
      </c>
      <c r="D633" s="195">
        <v>4454.5</v>
      </c>
      <c r="F633" s="195">
        <v>76293.919999999998</v>
      </c>
    </row>
    <row r="634" spans="1:9" x14ac:dyDescent="0.2">
      <c r="A634" s="193">
        <v>1712309731</v>
      </c>
      <c r="B634" s="193" t="s">
        <v>1521</v>
      </c>
      <c r="G634" s="195">
        <v>80129.789999999994</v>
      </c>
      <c r="H634" s="195">
        <v>81176.759999999995</v>
      </c>
      <c r="I634" s="195">
        <v>38423.15</v>
      </c>
    </row>
    <row r="635" spans="1:9" x14ac:dyDescent="0.2">
      <c r="A635" s="193">
        <v>1712310110</v>
      </c>
      <c r="B635" s="193" t="s">
        <v>1520</v>
      </c>
      <c r="C635" s="195">
        <v>101453</v>
      </c>
      <c r="D635" s="195">
        <v>80167.03</v>
      </c>
      <c r="E635" s="195">
        <v>101453</v>
      </c>
    </row>
    <row r="636" spans="1:9" x14ac:dyDescent="0.2">
      <c r="A636" s="193">
        <v>1712311731</v>
      </c>
      <c r="B636" s="193" t="s">
        <v>677</v>
      </c>
      <c r="C636" s="195">
        <v>1400</v>
      </c>
      <c r="D636" s="195">
        <v>901</v>
      </c>
      <c r="E636" s="195">
        <v>1400</v>
      </c>
      <c r="F636" s="195">
        <v>1146</v>
      </c>
      <c r="G636" s="195">
        <v>1166</v>
      </c>
      <c r="H636" s="195">
        <v>1326</v>
      </c>
      <c r="I636" s="195">
        <v>1266</v>
      </c>
    </row>
    <row r="637" spans="1:9" x14ac:dyDescent="0.2">
      <c r="A637" s="193">
        <v>1712312731</v>
      </c>
      <c r="B637" s="193" t="s">
        <v>678</v>
      </c>
      <c r="C637" s="195">
        <v>80000</v>
      </c>
      <c r="D637" s="195">
        <v>50993.64</v>
      </c>
      <c r="F637" s="195">
        <v>125808.37</v>
      </c>
      <c r="G637" s="195">
        <v>173893.61</v>
      </c>
      <c r="H637" s="195">
        <v>150750.23000000001</v>
      </c>
      <c r="I637" s="195">
        <v>163931.65</v>
      </c>
    </row>
    <row r="638" spans="1:9" x14ac:dyDescent="0.2">
      <c r="A638" s="193">
        <v>1712314731</v>
      </c>
      <c r="B638" s="193" t="s">
        <v>679</v>
      </c>
      <c r="C638" s="195">
        <v>99000</v>
      </c>
      <c r="D638" s="195">
        <v>70506.740000000005</v>
      </c>
      <c r="E638" s="195">
        <v>115000</v>
      </c>
      <c r="F638" s="195">
        <v>119926.71</v>
      </c>
      <c r="G638" s="195">
        <v>131965.85</v>
      </c>
      <c r="H638" s="195">
        <v>106080.88</v>
      </c>
      <c r="I638" s="195">
        <v>112547.63</v>
      </c>
    </row>
    <row r="639" spans="1:9" x14ac:dyDescent="0.2">
      <c r="A639" s="193">
        <v>1712316731</v>
      </c>
      <c r="B639" s="193" t="s">
        <v>680</v>
      </c>
      <c r="C639" s="195">
        <v>117000</v>
      </c>
      <c r="D639" s="195">
        <v>81412.27</v>
      </c>
      <c r="E639" s="195">
        <v>130000</v>
      </c>
      <c r="F639" s="195">
        <v>134277.53</v>
      </c>
      <c r="G639" s="195">
        <v>146341.98000000001</v>
      </c>
      <c r="H639" s="195">
        <v>113318.13</v>
      </c>
      <c r="I639" s="195">
        <v>103119.44</v>
      </c>
    </row>
    <row r="640" spans="1:9" x14ac:dyDescent="0.2">
      <c r="A640" s="193">
        <v>1712317731</v>
      </c>
      <c r="B640" s="193" t="s">
        <v>112</v>
      </c>
    </row>
    <row r="641" spans="1:9" x14ac:dyDescent="0.2">
      <c r="A641" s="193">
        <v>1712400530</v>
      </c>
      <c r="B641" s="193" t="s">
        <v>1519</v>
      </c>
      <c r="C641" s="195">
        <v>116000</v>
      </c>
      <c r="D641" s="195">
        <v>69806.990000000005</v>
      </c>
      <c r="E641" s="195">
        <v>80000</v>
      </c>
      <c r="F641" s="195">
        <v>9289.56</v>
      </c>
    </row>
    <row r="642" spans="1:9" x14ac:dyDescent="0.2">
      <c r="A642" s="193">
        <v>1712409530</v>
      </c>
      <c r="B642" s="193" t="s">
        <v>48</v>
      </c>
      <c r="C642" s="195">
        <v>45000</v>
      </c>
      <c r="D642" s="195">
        <v>26087.040000000001</v>
      </c>
      <c r="E642" s="195">
        <v>50000</v>
      </c>
      <c r="F642" s="195">
        <v>40344.17</v>
      </c>
    </row>
    <row r="643" spans="1:9" x14ac:dyDescent="0.2">
      <c r="A643" s="193">
        <v>1712409731</v>
      </c>
      <c r="B643" s="193" t="s">
        <v>1518</v>
      </c>
      <c r="D643" s="195">
        <v>2469.62</v>
      </c>
      <c r="F643" s="195">
        <v>4377.2700000000004</v>
      </c>
      <c r="G643" s="195">
        <v>48049.61</v>
      </c>
      <c r="H643" s="195">
        <v>3346.89</v>
      </c>
    </row>
    <row r="644" spans="1:9" x14ac:dyDescent="0.2">
      <c r="A644" s="193">
        <v>1712500110</v>
      </c>
      <c r="B644" s="193" t="s">
        <v>76</v>
      </c>
      <c r="D644" s="195">
        <v>1.47</v>
      </c>
      <c r="F644" s="195">
        <v>32819.93</v>
      </c>
    </row>
    <row r="645" spans="1:9" x14ac:dyDescent="0.2">
      <c r="A645" s="193">
        <v>1712500731</v>
      </c>
      <c r="B645" s="193" t="s">
        <v>113</v>
      </c>
      <c r="F645" s="195">
        <v>549.97</v>
      </c>
      <c r="G645" s="195">
        <v>25519.35</v>
      </c>
      <c r="H645" s="195">
        <v>14448.75</v>
      </c>
      <c r="I645" s="195">
        <v>29167.98</v>
      </c>
    </row>
    <row r="646" spans="1:9" x14ac:dyDescent="0.2">
      <c r="A646" s="193">
        <v>1712500750</v>
      </c>
      <c r="B646" s="193" t="s">
        <v>682</v>
      </c>
      <c r="C646" s="195">
        <v>2000520</v>
      </c>
      <c r="D646" s="195">
        <v>982284</v>
      </c>
      <c r="E646" s="195">
        <v>2000520</v>
      </c>
      <c r="F646" s="195">
        <v>2088996</v>
      </c>
      <c r="G646" s="195">
        <v>1950000</v>
      </c>
      <c r="H646" s="195">
        <v>1950000</v>
      </c>
      <c r="I646" s="195">
        <v>2108744</v>
      </c>
    </row>
    <row r="647" spans="1:9" x14ac:dyDescent="0.2">
      <c r="A647" s="193">
        <v>1712500751</v>
      </c>
      <c r="B647" s="193" t="s">
        <v>683</v>
      </c>
      <c r="C647" s="195">
        <v>805000</v>
      </c>
      <c r="D647" s="195">
        <v>390018.45</v>
      </c>
      <c r="E647" s="195">
        <v>805000</v>
      </c>
      <c r="F647" s="195">
        <v>695534.4</v>
      </c>
      <c r="G647" s="195">
        <v>733625.64</v>
      </c>
      <c r="H647" s="195">
        <v>511987.12</v>
      </c>
      <c r="I647" s="195">
        <v>714780</v>
      </c>
    </row>
    <row r="648" spans="1:9" x14ac:dyDescent="0.2">
      <c r="A648" s="193">
        <v>1712500752</v>
      </c>
      <c r="B648" s="193" t="s">
        <v>51</v>
      </c>
      <c r="F648" s="195">
        <v>50620.04</v>
      </c>
    </row>
    <row r="649" spans="1:9" x14ac:dyDescent="0.2">
      <c r="A649" s="193">
        <v>1712501731</v>
      </c>
      <c r="B649" s="193" t="s">
        <v>684</v>
      </c>
      <c r="C649" s="195">
        <v>15500</v>
      </c>
      <c r="D649" s="195">
        <v>11210.53</v>
      </c>
      <c r="E649" s="195">
        <v>35000</v>
      </c>
      <c r="F649" s="195">
        <v>33711.78</v>
      </c>
      <c r="G649" s="195">
        <v>11904.07</v>
      </c>
      <c r="H649" s="195">
        <v>45046.879999999997</v>
      </c>
      <c r="I649" s="195">
        <v>24720.81</v>
      </c>
    </row>
    <row r="650" spans="1:9" x14ac:dyDescent="0.2">
      <c r="A650" s="193">
        <v>1712600731</v>
      </c>
      <c r="B650" s="193" t="s">
        <v>1222</v>
      </c>
      <c r="C650" s="195">
        <v>15000</v>
      </c>
      <c r="D650" s="195">
        <v>4955.5600000000004</v>
      </c>
      <c r="E650" s="195">
        <v>14000</v>
      </c>
      <c r="F650" s="195">
        <v>16096.06</v>
      </c>
    </row>
    <row r="651" spans="1:9" x14ac:dyDescent="0.2">
      <c r="A651" s="193">
        <v>1712800731</v>
      </c>
      <c r="B651" s="193" t="s">
        <v>114</v>
      </c>
      <c r="C651" s="195">
        <v>14000</v>
      </c>
      <c r="D651" s="195">
        <v>4072.18</v>
      </c>
      <c r="E651" s="195">
        <v>19500</v>
      </c>
      <c r="F651" s="195">
        <v>17309.79</v>
      </c>
      <c r="G651" s="195">
        <v>30106.41</v>
      </c>
      <c r="H651" s="195">
        <v>19816.48</v>
      </c>
      <c r="I651" s="195">
        <v>22822.21</v>
      </c>
    </row>
    <row r="652" spans="1:9" x14ac:dyDescent="0.2">
      <c r="A652" s="193">
        <v>1713000441</v>
      </c>
      <c r="B652" s="193" t="s">
        <v>49</v>
      </c>
    </row>
    <row r="653" spans="1:9" x14ac:dyDescent="0.2">
      <c r="A653" s="193">
        <v>1713000731</v>
      </c>
      <c r="B653" s="193" t="s">
        <v>686</v>
      </c>
      <c r="C653" s="195">
        <v>29000</v>
      </c>
      <c r="D653" s="195">
        <v>22451.4</v>
      </c>
      <c r="E653" s="195">
        <v>30000</v>
      </c>
      <c r="F653" s="195">
        <v>30745.360000000001</v>
      </c>
      <c r="G653" s="195">
        <v>28844.28</v>
      </c>
      <c r="H653" s="195">
        <v>29761.55</v>
      </c>
      <c r="I653" s="195">
        <v>35467.910000000003</v>
      </c>
    </row>
    <row r="654" spans="1:9" x14ac:dyDescent="0.2">
      <c r="A654" s="193">
        <v>1713001731</v>
      </c>
      <c r="B654" s="193" t="s">
        <v>1450</v>
      </c>
      <c r="C654" s="195">
        <v>8000</v>
      </c>
      <c r="D654" s="195">
        <v>4765.8900000000003</v>
      </c>
      <c r="E654" s="195">
        <v>13500</v>
      </c>
      <c r="F654" s="195">
        <v>14832.3</v>
      </c>
    </row>
    <row r="655" spans="1:9" x14ac:dyDescent="0.2">
      <c r="A655" s="193">
        <v>1713002731</v>
      </c>
      <c r="B655" s="193" t="s">
        <v>1451</v>
      </c>
      <c r="C655" s="195">
        <v>3000</v>
      </c>
      <c r="D655" s="195">
        <v>1689</v>
      </c>
      <c r="E655" s="195">
        <v>3000</v>
      </c>
      <c r="F655" s="195">
        <v>2553</v>
      </c>
    </row>
    <row r="656" spans="1:9" x14ac:dyDescent="0.2">
      <c r="A656" s="193">
        <v>1713200110</v>
      </c>
      <c r="B656" s="193" t="s">
        <v>523</v>
      </c>
      <c r="C656" s="195">
        <v>1034649</v>
      </c>
      <c r="D656" s="195">
        <v>805227.31</v>
      </c>
      <c r="E656" s="195">
        <v>1034649</v>
      </c>
      <c r="F656" s="195">
        <v>960120</v>
      </c>
      <c r="G656" s="195">
        <v>808651.58</v>
      </c>
      <c r="H656" s="195">
        <v>743179.52</v>
      </c>
      <c r="I656" s="195">
        <v>692913.15</v>
      </c>
    </row>
    <row r="657" spans="1:9" x14ac:dyDescent="0.2">
      <c r="A657" s="193">
        <v>1714000110</v>
      </c>
      <c r="B657" s="193" t="s">
        <v>524</v>
      </c>
      <c r="C657" s="195">
        <v>843650</v>
      </c>
      <c r="D657" s="195">
        <v>627018.06000000006</v>
      </c>
      <c r="E657" s="195">
        <v>843650</v>
      </c>
      <c r="F657" s="195">
        <v>814514.69</v>
      </c>
      <c r="G657" s="195">
        <v>746815.83</v>
      </c>
      <c r="H657" s="195">
        <v>726493.88</v>
      </c>
      <c r="I657" s="195">
        <v>675386.83</v>
      </c>
    </row>
    <row r="658" spans="1:9" x14ac:dyDescent="0.2">
      <c r="A658" s="193">
        <v>1714000210</v>
      </c>
      <c r="B658" s="193" t="s">
        <v>524</v>
      </c>
      <c r="C658" s="195">
        <v>3795</v>
      </c>
      <c r="D658" s="195">
        <v>4790.42</v>
      </c>
      <c r="E658" s="195">
        <v>3795</v>
      </c>
      <c r="F658" s="195">
        <v>3757</v>
      </c>
      <c r="G658" s="195">
        <v>2097.34</v>
      </c>
      <c r="H658" s="195">
        <v>1855.7</v>
      </c>
    </row>
    <row r="659" spans="1:9" x14ac:dyDescent="0.2">
      <c r="A659" s="193">
        <v>1714200560</v>
      </c>
      <c r="B659" s="193" t="s">
        <v>687</v>
      </c>
      <c r="C659" s="195">
        <v>500</v>
      </c>
      <c r="E659" s="195">
        <v>500</v>
      </c>
      <c r="F659" s="195">
        <v>543.54</v>
      </c>
      <c r="H659" s="195">
        <v>95.7</v>
      </c>
    </row>
    <row r="660" spans="1:9" x14ac:dyDescent="0.2">
      <c r="A660" s="193">
        <v>1714200570</v>
      </c>
      <c r="B660" s="193" t="s">
        <v>258</v>
      </c>
    </row>
    <row r="661" spans="1:9" x14ac:dyDescent="0.2">
      <c r="A661" s="193">
        <v>1714200580</v>
      </c>
      <c r="B661" s="193" t="s">
        <v>688</v>
      </c>
      <c r="C661" s="195">
        <v>300000</v>
      </c>
      <c r="D661" s="195">
        <v>275760</v>
      </c>
      <c r="E661" s="195">
        <v>375000</v>
      </c>
      <c r="F661" s="195">
        <v>298960</v>
      </c>
      <c r="G661" s="195">
        <v>551520</v>
      </c>
      <c r="H661" s="195">
        <v>199832.8</v>
      </c>
      <c r="I661" s="195">
        <v>98129.35</v>
      </c>
    </row>
    <row r="662" spans="1:9" x14ac:dyDescent="0.2">
      <c r="A662" s="193">
        <v>1714200720</v>
      </c>
      <c r="B662" s="193" t="s">
        <v>689</v>
      </c>
      <c r="C662" s="195">
        <v>40000</v>
      </c>
      <c r="D662" s="195">
        <v>14013.28</v>
      </c>
      <c r="E662" s="195">
        <v>40000</v>
      </c>
      <c r="F662" s="195">
        <v>31795.34</v>
      </c>
      <c r="G662" s="195">
        <v>46271.35</v>
      </c>
      <c r="H662" s="195">
        <v>36141</v>
      </c>
      <c r="I662" s="195">
        <v>39456.33</v>
      </c>
    </row>
    <row r="663" spans="1:9" x14ac:dyDescent="0.2">
      <c r="A663" s="193">
        <v>1714200731</v>
      </c>
      <c r="B663" s="193" t="s">
        <v>1517</v>
      </c>
      <c r="C663" s="195">
        <v>32000</v>
      </c>
      <c r="D663" s="195">
        <v>17413.400000000001</v>
      </c>
      <c r="E663" s="195">
        <v>32000</v>
      </c>
      <c r="F663" s="195">
        <v>41237.65</v>
      </c>
      <c r="G663" s="195">
        <v>36526.28</v>
      </c>
      <c r="H663" s="195">
        <v>42077.63</v>
      </c>
      <c r="I663" s="195">
        <v>37171.82</v>
      </c>
    </row>
    <row r="664" spans="1:9" x14ac:dyDescent="0.2">
      <c r="A664" s="193">
        <v>1714200742</v>
      </c>
      <c r="B664" s="193" t="s">
        <v>1231</v>
      </c>
      <c r="I664" s="195">
        <v>16000</v>
      </c>
    </row>
    <row r="665" spans="1:9" x14ac:dyDescent="0.2">
      <c r="A665" s="193">
        <v>1714200781</v>
      </c>
      <c r="B665" s="193" t="s">
        <v>691</v>
      </c>
      <c r="C665" s="195">
        <v>5000</v>
      </c>
      <c r="D665" s="195">
        <v>3540</v>
      </c>
      <c r="E665" s="195">
        <v>5000</v>
      </c>
      <c r="I665" s="195">
        <v>3016</v>
      </c>
    </row>
    <row r="666" spans="1:9" x14ac:dyDescent="0.2">
      <c r="A666" s="193">
        <v>1714300731</v>
      </c>
      <c r="B666" s="193" t="s">
        <v>692</v>
      </c>
      <c r="C666" s="195">
        <v>1000</v>
      </c>
      <c r="D666" s="195">
        <v>868</v>
      </c>
      <c r="E666" s="195">
        <v>1000</v>
      </c>
      <c r="F666" s="195">
        <v>1368</v>
      </c>
      <c r="G666" s="195">
        <v>1144</v>
      </c>
      <c r="H666" s="195">
        <v>1251</v>
      </c>
      <c r="I666" s="195">
        <v>946</v>
      </c>
    </row>
    <row r="667" spans="1:9" x14ac:dyDescent="0.2">
      <c r="A667" s="193">
        <v>1714300750</v>
      </c>
      <c r="B667" s="193" t="s">
        <v>693</v>
      </c>
      <c r="D667" s="195">
        <v>11500</v>
      </c>
      <c r="E667" s="195">
        <v>139200</v>
      </c>
      <c r="F667" s="195">
        <v>138681</v>
      </c>
      <c r="G667" s="195">
        <v>125629</v>
      </c>
      <c r="H667" s="195">
        <v>110284</v>
      </c>
      <c r="I667" s="195">
        <v>105000</v>
      </c>
    </row>
    <row r="668" spans="1:9" x14ac:dyDescent="0.2">
      <c r="A668" s="193">
        <v>1714300830</v>
      </c>
      <c r="B668" s="193" t="s">
        <v>694</v>
      </c>
      <c r="C668" s="195">
        <v>54000</v>
      </c>
      <c r="D668" s="195">
        <v>54331</v>
      </c>
      <c r="E668" s="195">
        <v>50000</v>
      </c>
      <c r="F668" s="195">
        <v>49345</v>
      </c>
      <c r="G668" s="195">
        <v>46945</v>
      </c>
      <c r="H668" s="195">
        <v>48113</v>
      </c>
      <c r="I668" s="195">
        <v>43345</v>
      </c>
    </row>
    <row r="669" spans="1:9" x14ac:dyDescent="0.2">
      <c r="A669" s="193">
        <v>1715200110</v>
      </c>
      <c r="B669" s="193" t="s">
        <v>523</v>
      </c>
      <c r="C669" s="195">
        <v>135067</v>
      </c>
      <c r="D669" s="195">
        <v>109887.28</v>
      </c>
      <c r="E669" s="195">
        <v>135067</v>
      </c>
      <c r="F669" s="195">
        <v>271378.63</v>
      </c>
      <c r="G669" s="195">
        <v>273575.69</v>
      </c>
      <c r="H669" s="195">
        <v>252387.09</v>
      </c>
      <c r="I669" s="195">
        <v>240946.06</v>
      </c>
    </row>
    <row r="670" spans="1:9" x14ac:dyDescent="0.2">
      <c r="A670" s="193">
        <v>1715200720</v>
      </c>
      <c r="B670" s="193" t="s">
        <v>689</v>
      </c>
      <c r="C670" s="195">
        <v>40000</v>
      </c>
      <c r="D670" s="195">
        <v>16808.5</v>
      </c>
      <c r="E670" s="195">
        <v>40000</v>
      </c>
      <c r="F670" s="195">
        <v>3264.04</v>
      </c>
      <c r="G670" s="195">
        <v>111446.78</v>
      </c>
      <c r="H670" s="195">
        <v>79284.62</v>
      </c>
      <c r="I670" s="195">
        <v>97258.77</v>
      </c>
    </row>
    <row r="671" spans="1:9" x14ac:dyDescent="0.2">
      <c r="A671" s="193">
        <v>1715300750</v>
      </c>
      <c r="B671" s="193" t="s">
        <v>695</v>
      </c>
      <c r="C671" s="195">
        <v>55224</v>
      </c>
      <c r="D671" s="195">
        <v>36816</v>
      </c>
      <c r="E671" s="195">
        <v>55224</v>
      </c>
      <c r="F671" s="195">
        <v>37309.980000000003</v>
      </c>
      <c r="G671" s="195">
        <v>40062.639999999999</v>
      </c>
      <c r="H671" s="195">
        <v>55311</v>
      </c>
      <c r="I671" s="195">
        <v>50112</v>
      </c>
    </row>
    <row r="672" spans="1:9" x14ac:dyDescent="0.2">
      <c r="A672" s="193">
        <v>1720000399</v>
      </c>
      <c r="B672" s="193" t="s">
        <v>24</v>
      </c>
    </row>
    <row r="673" spans="1:9" x14ac:dyDescent="0.2">
      <c r="A673" s="193">
        <v>1720000981</v>
      </c>
      <c r="B673" s="193" t="s">
        <v>74</v>
      </c>
      <c r="F673" s="195">
        <v>350</v>
      </c>
    </row>
    <row r="674" spans="1:9" x14ac:dyDescent="0.2">
      <c r="A674" s="193">
        <v>1721000110</v>
      </c>
      <c r="B674" s="193" t="s">
        <v>525</v>
      </c>
      <c r="C674" s="195">
        <v>395530</v>
      </c>
      <c r="D674" s="195">
        <v>307898.08</v>
      </c>
      <c r="E674" s="195">
        <v>395530</v>
      </c>
      <c r="F674" s="195">
        <v>384429.84</v>
      </c>
      <c r="G674" s="195">
        <v>358257.83</v>
      </c>
      <c r="H674" s="195">
        <v>337932.92</v>
      </c>
      <c r="I674" s="195">
        <v>245492.97</v>
      </c>
    </row>
    <row r="675" spans="1:9" x14ac:dyDescent="0.2">
      <c r="A675" s="193">
        <v>1722000110</v>
      </c>
      <c r="B675" s="193" t="s">
        <v>523</v>
      </c>
      <c r="C675" s="195">
        <v>180615</v>
      </c>
      <c r="D675" s="195">
        <v>213117.99</v>
      </c>
      <c r="E675" s="195">
        <v>180615</v>
      </c>
      <c r="F675" s="195">
        <v>208658.76</v>
      </c>
      <c r="G675" s="195">
        <v>56359.42</v>
      </c>
      <c r="H675" s="195">
        <v>145616.35</v>
      </c>
      <c r="I675" s="195">
        <v>282324.73</v>
      </c>
    </row>
    <row r="676" spans="1:9" x14ac:dyDescent="0.2">
      <c r="A676" s="193">
        <v>1722000210</v>
      </c>
      <c r="B676" s="193" t="s">
        <v>526</v>
      </c>
      <c r="C676" s="195">
        <v>1144951</v>
      </c>
      <c r="D676" s="195">
        <v>766281.88</v>
      </c>
      <c r="E676" s="195">
        <v>1144951</v>
      </c>
      <c r="F676" s="195">
        <v>548059.34</v>
      </c>
      <c r="G676" s="195">
        <v>424641.26</v>
      </c>
      <c r="H676" s="195">
        <v>299290.05</v>
      </c>
    </row>
    <row r="677" spans="1:9" x14ac:dyDescent="0.2">
      <c r="A677" s="193">
        <v>1722000430</v>
      </c>
      <c r="B677" s="193" t="s">
        <v>696</v>
      </c>
      <c r="C677" s="195">
        <v>40000</v>
      </c>
      <c r="D677" s="195">
        <v>34551.29</v>
      </c>
      <c r="E677" s="195">
        <v>40000</v>
      </c>
      <c r="F677" s="195">
        <v>53699.44</v>
      </c>
      <c r="G677" s="195">
        <v>37127</v>
      </c>
      <c r="H677" s="195">
        <v>45450</v>
      </c>
      <c r="I677" s="195">
        <v>43439.96</v>
      </c>
    </row>
    <row r="678" spans="1:9" x14ac:dyDescent="0.2">
      <c r="A678" s="193">
        <v>1722000511</v>
      </c>
      <c r="B678" s="193" t="s">
        <v>697</v>
      </c>
      <c r="C678" s="195">
        <v>4900</v>
      </c>
      <c r="D678" s="195">
        <v>5087.45</v>
      </c>
      <c r="E678" s="195">
        <v>4900</v>
      </c>
      <c r="F678" s="195">
        <v>4900</v>
      </c>
      <c r="G678" s="195">
        <v>4459.03</v>
      </c>
      <c r="H678" s="195">
        <v>3309.72</v>
      </c>
      <c r="I678" s="195">
        <v>7764.39</v>
      </c>
    </row>
    <row r="679" spans="1:9" x14ac:dyDescent="0.2">
      <c r="A679" s="193">
        <v>1722000530</v>
      </c>
      <c r="B679" s="193" t="s">
        <v>700</v>
      </c>
      <c r="D679" s="195">
        <v>6506.9</v>
      </c>
      <c r="F679" s="195">
        <v>60486.14</v>
      </c>
    </row>
    <row r="680" spans="1:9" x14ac:dyDescent="0.2">
      <c r="A680" s="193">
        <v>1722000540</v>
      </c>
      <c r="B680" s="193" t="s">
        <v>698</v>
      </c>
      <c r="C680" s="195">
        <v>84000</v>
      </c>
      <c r="D680" s="195">
        <v>42181.57</v>
      </c>
      <c r="E680" s="195">
        <v>84000</v>
      </c>
      <c r="F680" s="195">
        <v>92386.74</v>
      </c>
      <c r="G680" s="195">
        <v>140289.42000000001</v>
      </c>
      <c r="H680" s="195">
        <v>194511.54</v>
      </c>
    </row>
    <row r="681" spans="1:9" x14ac:dyDescent="0.2">
      <c r="A681" s="193">
        <v>1722000550</v>
      </c>
      <c r="B681" s="193" t="s">
        <v>699</v>
      </c>
      <c r="C681" s="195">
        <v>9000</v>
      </c>
      <c r="D681" s="195">
        <v>8000</v>
      </c>
      <c r="E681" s="195">
        <v>9000</v>
      </c>
      <c r="F681" s="195">
        <v>8502.64</v>
      </c>
      <c r="G681" s="195">
        <v>8000</v>
      </c>
      <c r="H681" s="195">
        <v>261.3</v>
      </c>
      <c r="I681" s="195">
        <v>10860.46</v>
      </c>
    </row>
    <row r="682" spans="1:9" x14ac:dyDescent="0.2">
      <c r="A682" s="193">
        <v>1722000731</v>
      </c>
      <c r="B682" s="193" t="s">
        <v>1516</v>
      </c>
      <c r="F682" s="195">
        <v>499.92</v>
      </c>
      <c r="G682" s="195">
        <v>63204.23</v>
      </c>
      <c r="H682" s="195">
        <v>93474.41</v>
      </c>
      <c r="I682" s="195">
        <v>75495.45</v>
      </c>
    </row>
    <row r="683" spans="1:9" x14ac:dyDescent="0.2">
      <c r="A683" s="193">
        <v>1722000732</v>
      </c>
      <c r="B683" s="193" t="s">
        <v>133</v>
      </c>
    </row>
    <row r="684" spans="1:9" x14ac:dyDescent="0.2">
      <c r="A684" s="193">
        <v>1722000733</v>
      </c>
      <c r="B684" s="193" t="s">
        <v>133</v>
      </c>
    </row>
    <row r="685" spans="1:9" x14ac:dyDescent="0.2">
      <c r="A685" s="193">
        <v>1722000750</v>
      </c>
      <c r="B685" s="193" t="s">
        <v>701</v>
      </c>
      <c r="C685" s="195">
        <v>200000</v>
      </c>
      <c r="D685" s="195">
        <v>46264.04</v>
      </c>
      <c r="E685" s="195">
        <v>200000</v>
      </c>
      <c r="F685" s="195">
        <v>191473.3</v>
      </c>
      <c r="G685" s="195">
        <v>149855.72</v>
      </c>
      <c r="H685" s="195">
        <v>218183.3</v>
      </c>
      <c r="I685" s="195">
        <v>256132.29</v>
      </c>
    </row>
    <row r="686" spans="1:9" x14ac:dyDescent="0.2">
      <c r="A686" s="193">
        <v>1722000751</v>
      </c>
      <c r="B686" s="193" t="s">
        <v>702</v>
      </c>
      <c r="C686" s="195">
        <v>60000</v>
      </c>
      <c r="D686" s="195">
        <v>42580.49</v>
      </c>
      <c r="E686" s="195">
        <v>60000</v>
      </c>
      <c r="F686" s="195">
        <v>54896.5</v>
      </c>
      <c r="G686" s="195">
        <v>36988</v>
      </c>
      <c r="H686" s="195">
        <v>70306.600000000006</v>
      </c>
      <c r="I686" s="195">
        <v>535131.77</v>
      </c>
    </row>
    <row r="687" spans="1:9" x14ac:dyDescent="0.2">
      <c r="A687" s="193">
        <v>1722000752</v>
      </c>
      <c r="B687" s="193" t="s">
        <v>703</v>
      </c>
      <c r="G687" s="195">
        <v>87509</v>
      </c>
      <c r="H687" s="195">
        <v>11227</v>
      </c>
      <c r="I687" s="195">
        <v>289943</v>
      </c>
    </row>
    <row r="688" spans="1:9" x14ac:dyDescent="0.2">
      <c r="A688" s="193">
        <v>1722000753</v>
      </c>
      <c r="B688" s="193" t="s">
        <v>1515</v>
      </c>
      <c r="C688" s="195">
        <v>150000</v>
      </c>
      <c r="D688" s="195">
        <v>51920</v>
      </c>
      <c r="E688" s="195">
        <v>123000</v>
      </c>
    </row>
    <row r="689" spans="1:9" x14ac:dyDescent="0.2">
      <c r="A689" s="193">
        <v>1722000810</v>
      </c>
      <c r="B689" s="193" t="s">
        <v>704</v>
      </c>
    </row>
    <row r="690" spans="1:9" x14ac:dyDescent="0.2">
      <c r="A690" s="193">
        <v>1722000811</v>
      </c>
      <c r="B690" s="193" t="s">
        <v>134</v>
      </c>
    </row>
    <row r="691" spans="1:9" x14ac:dyDescent="0.2">
      <c r="A691" s="193">
        <v>1722000910</v>
      </c>
      <c r="B691" s="193" t="s">
        <v>704</v>
      </c>
      <c r="C691" s="195">
        <v>42000</v>
      </c>
      <c r="E691" s="195">
        <v>41257</v>
      </c>
      <c r="F691" s="195">
        <v>41257</v>
      </c>
      <c r="H691" s="195">
        <v>31556</v>
      </c>
      <c r="I691" s="195">
        <v>53214</v>
      </c>
    </row>
    <row r="692" spans="1:9" x14ac:dyDescent="0.2">
      <c r="A692" s="193">
        <v>1722000930</v>
      </c>
      <c r="B692" s="193" t="s">
        <v>705</v>
      </c>
      <c r="C692" s="195">
        <v>8000</v>
      </c>
      <c r="E692" s="195">
        <v>8000</v>
      </c>
      <c r="F692" s="195">
        <v>9500</v>
      </c>
      <c r="G692" s="195">
        <v>448.8</v>
      </c>
      <c r="H692" s="195">
        <v>101.79</v>
      </c>
      <c r="I692" s="195">
        <v>13651.53</v>
      </c>
    </row>
    <row r="693" spans="1:9" x14ac:dyDescent="0.2">
      <c r="A693" s="193">
        <v>1722000980</v>
      </c>
      <c r="B693" s="193" t="s">
        <v>580</v>
      </c>
      <c r="C693" s="195">
        <v>6100</v>
      </c>
      <c r="D693" s="195">
        <v>2420.71</v>
      </c>
      <c r="E693" s="195">
        <v>6100</v>
      </c>
      <c r="F693" s="195">
        <v>5337.39</v>
      </c>
      <c r="G693" s="195">
        <v>6513.76</v>
      </c>
      <c r="H693" s="195">
        <v>4635.95</v>
      </c>
      <c r="I693" s="195">
        <v>4993.99</v>
      </c>
    </row>
    <row r="694" spans="1:9" x14ac:dyDescent="0.2">
      <c r="A694" s="193">
        <v>1722001731</v>
      </c>
      <c r="B694" s="193" t="s">
        <v>115</v>
      </c>
      <c r="C694" s="195">
        <v>22000</v>
      </c>
      <c r="D694" s="195">
        <v>8828.59</v>
      </c>
      <c r="E694" s="195">
        <v>24000</v>
      </c>
      <c r="F694" s="195">
        <v>24270.240000000002</v>
      </c>
      <c r="G694" s="195">
        <v>38514.370000000003</v>
      </c>
      <c r="H694" s="195">
        <v>21968.880000000001</v>
      </c>
      <c r="I694" s="195">
        <v>23855.25</v>
      </c>
    </row>
    <row r="695" spans="1:9" x14ac:dyDescent="0.2">
      <c r="A695" s="193">
        <v>1722002530</v>
      </c>
      <c r="B695" s="193" t="s">
        <v>1456</v>
      </c>
      <c r="C695" s="195">
        <v>118000</v>
      </c>
      <c r="D695" s="195">
        <v>77161.350000000006</v>
      </c>
      <c r="E695" s="195">
        <v>115000</v>
      </c>
      <c r="F695" s="195">
        <v>120517.34</v>
      </c>
    </row>
    <row r="696" spans="1:9" x14ac:dyDescent="0.2">
      <c r="A696" s="193">
        <v>1722002731</v>
      </c>
      <c r="B696" s="193" t="s">
        <v>1514</v>
      </c>
      <c r="D696" s="195">
        <v>5584.37</v>
      </c>
      <c r="F696" s="195">
        <v>19603.86</v>
      </c>
      <c r="G696" s="195">
        <v>107903.63</v>
      </c>
      <c r="H696" s="195">
        <v>88454.06</v>
      </c>
      <c r="I696" s="195">
        <v>122668.05</v>
      </c>
    </row>
    <row r="697" spans="1:9" x14ac:dyDescent="0.2">
      <c r="A697" s="193">
        <v>1722003530</v>
      </c>
      <c r="B697" s="193" t="s">
        <v>1457</v>
      </c>
      <c r="C697" s="195">
        <v>105000</v>
      </c>
      <c r="D697" s="195">
        <v>67317.72</v>
      </c>
      <c r="E697" s="195">
        <v>140000</v>
      </c>
      <c r="F697" s="195">
        <v>129399.53</v>
      </c>
    </row>
    <row r="698" spans="1:9" x14ac:dyDescent="0.2">
      <c r="A698" s="193">
        <v>1722003731</v>
      </c>
      <c r="B698" s="193" t="s">
        <v>1513</v>
      </c>
      <c r="D698" s="195">
        <v>5584.36</v>
      </c>
      <c r="F698" s="195">
        <v>11152.51</v>
      </c>
      <c r="G698" s="195">
        <v>122026.45</v>
      </c>
      <c r="H698" s="195">
        <v>130927.77</v>
      </c>
      <c r="I698" s="195">
        <v>103364.17</v>
      </c>
    </row>
    <row r="699" spans="1:9" x14ac:dyDescent="0.2">
      <c r="A699" s="193">
        <v>1722004731</v>
      </c>
      <c r="B699" s="193" t="s">
        <v>40</v>
      </c>
      <c r="C699" s="195">
        <v>17000</v>
      </c>
      <c r="D699" s="195">
        <v>5221.49</v>
      </c>
      <c r="E699" s="195">
        <v>20000</v>
      </c>
      <c r="F699" s="195">
        <v>26350.77</v>
      </c>
      <c r="G699" s="195">
        <v>12628.12</v>
      </c>
      <c r="H699" s="195">
        <v>15161</v>
      </c>
      <c r="I699" s="195">
        <v>19355.330000000002</v>
      </c>
    </row>
    <row r="700" spans="1:9" x14ac:dyDescent="0.2">
      <c r="A700" s="193">
        <v>1722005731</v>
      </c>
      <c r="B700" s="193" t="s">
        <v>41</v>
      </c>
      <c r="C700" s="195">
        <v>18000</v>
      </c>
      <c r="D700" s="195">
        <v>6807.41</v>
      </c>
      <c r="E700" s="195">
        <v>20000</v>
      </c>
      <c r="F700" s="195">
        <v>21701.01</v>
      </c>
      <c r="G700" s="195">
        <v>16383.39</v>
      </c>
      <c r="H700" s="195">
        <v>12784</v>
      </c>
      <c r="I700" s="195">
        <v>16171</v>
      </c>
    </row>
    <row r="701" spans="1:9" x14ac:dyDescent="0.2">
      <c r="A701" s="193">
        <v>1722006731</v>
      </c>
      <c r="B701" s="193" t="s">
        <v>42</v>
      </c>
      <c r="C701" s="195">
        <v>18000</v>
      </c>
      <c r="D701" s="195">
        <v>7632.11</v>
      </c>
      <c r="E701" s="195">
        <v>14000</v>
      </c>
      <c r="F701" s="195">
        <v>17641.14</v>
      </c>
      <c r="G701" s="195">
        <v>6005.22</v>
      </c>
      <c r="H701" s="195">
        <v>15392.01</v>
      </c>
      <c r="I701" s="195">
        <v>13381.01</v>
      </c>
    </row>
    <row r="702" spans="1:9" x14ac:dyDescent="0.2">
      <c r="A702" s="193">
        <v>1722007731</v>
      </c>
      <c r="B702" s="193" t="s">
        <v>1512</v>
      </c>
      <c r="I702" s="195">
        <v>16338.72</v>
      </c>
    </row>
    <row r="703" spans="1:9" x14ac:dyDescent="0.2">
      <c r="A703" s="193">
        <v>1722008731</v>
      </c>
      <c r="B703" s="193" t="s">
        <v>1330</v>
      </c>
      <c r="C703" s="195">
        <v>40000</v>
      </c>
      <c r="D703" s="195">
        <v>36028.339999999997</v>
      </c>
      <c r="E703" s="195">
        <v>34000</v>
      </c>
      <c r="F703" s="195">
        <v>41001.71</v>
      </c>
      <c r="G703" s="195">
        <v>2565.89</v>
      </c>
    </row>
    <row r="704" spans="1:9" x14ac:dyDescent="0.2">
      <c r="A704" s="193">
        <v>1722100750</v>
      </c>
      <c r="B704" s="193" t="s">
        <v>135</v>
      </c>
    </row>
    <row r="705" spans="1:9" x14ac:dyDescent="0.2">
      <c r="A705" s="193">
        <v>1722100780</v>
      </c>
      <c r="B705" s="193" t="s">
        <v>580</v>
      </c>
      <c r="D705" s="195">
        <v>62700</v>
      </c>
      <c r="E705" s="195">
        <v>62700</v>
      </c>
      <c r="F705" s="195">
        <v>1830</v>
      </c>
      <c r="G705" s="195">
        <v>2035.92</v>
      </c>
      <c r="H705" s="195">
        <v>2826.98</v>
      </c>
      <c r="I705" s="195">
        <v>2097</v>
      </c>
    </row>
    <row r="706" spans="1:9" x14ac:dyDescent="0.2">
      <c r="A706" s="193">
        <v>1723000110</v>
      </c>
      <c r="B706" s="193" t="s">
        <v>527</v>
      </c>
      <c r="C706" s="195">
        <v>389510</v>
      </c>
      <c r="D706" s="195">
        <v>297485.46000000002</v>
      </c>
      <c r="E706" s="195">
        <v>389510</v>
      </c>
      <c r="F706" s="195">
        <v>402832.4</v>
      </c>
      <c r="G706" s="195">
        <v>234107.74</v>
      </c>
      <c r="H706" s="195">
        <v>226055.17</v>
      </c>
      <c r="I706" s="195">
        <v>220059.72</v>
      </c>
    </row>
    <row r="707" spans="1:9" x14ac:dyDescent="0.2">
      <c r="A707" s="193">
        <v>1723000420</v>
      </c>
      <c r="B707" s="193" t="s">
        <v>712</v>
      </c>
      <c r="G707" s="195">
        <v>47459.5</v>
      </c>
      <c r="H707" s="195">
        <v>18450.150000000001</v>
      </c>
      <c r="I707" s="195">
        <v>48956.79</v>
      </c>
    </row>
    <row r="708" spans="1:9" x14ac:dyDescent="0.2">
      <c r="A708" s="193">
        <v>1723000430</v>
      </c>
      <c r="B708" s="193" t="s">
        <v>713</v>
      </c>
      <c r="C708" s="195">
        <v>30000</v>
      </c>
      <c r="D708" s="195">
        <v>19242.59</v>
      </c>
      <c r="E708" s="195">
        <v>30000</v>
      </c>
      <c r="F708" s="195">
        <v>27297.02</v>
      </c>
      <c r="G708" s="195">
        <v>20734.53</v>
      </c>
      <c r="H708" s="195">
        <v>20752.8</v>
      </c>
      <c r="I708" s="195">
        <v>10585.6</v>
      </c>
    </row>
    <row r="709" spans="1:9" x14ac:dyDescent="0.2">
      <c r="A709" s="193">
        <v>1723000731</v>
      </c>
      <c r="B709" s="193" t="s">
        <v>1332</v>
      </c>
      <c r="C709" s="195">
        <v>13000</v>
      </c>
      <c r="D709" s="195">
        <v>7103.62</v>
      </c>
      <c r="E709" s="195">
        <v>13000</v>
      </c>
      <c r="F709" s="195">
        <v>13438.99</v>
      </c>
    </row>
    <row r="710" spans="1:9" x14ac:dyDescent="0.2">
      <c r="A710" s="193">
        <v>1723000750</v>
      </c>
      <c r="B710" s="193" t="s">
        <v>714</v>
      </c>
      <c r="C710" s="195">
        <v>4300</v>
      </c>
      <c r="D710" s="195">
        <v>3287</v>
      </c>
      <c r="E710" s="195">
        <v>4300</v>
      </c>
      <c r="F710" s="195">
        <v>4315</v>
      </c>
      <c r="G710" s="195">
        <v>2925</v>
      </c>
      <c r="H710" s="195">
        <v>2599</v>
      </c>
      <c r="I710" s="195">
        <v>2841</v>
      </c>
    </row>
    <row r="711" spans="1:9" x14ac:dyDescent="0.2">
      <c r="A711" s="193">
        <v>1723000751</v>
      </c>
      <c r="B711" s="193" t="s">
        <v>77</v>
      </c>
      <c r="C711" s="195">
        <v>30000</v>
      </c>
      <c r="D711" s="195">
        <v>1135</v>
      </c>
      <c r="E711" s="195">
        <v>30000</v>
      </c>
      <c r="F711" s="195">
        <v>34797.800000000003</v>
      </c>
    </row>
    <row r="712" spans="1:9" x14ac:dyDescent="0.2">
      <c r="A712" s="193">
        <v>1723000810</v>
      </c>
      <c r="B712" s="193" t="s">
        <v>715</v>
      </c>
      <c r="C712" s="195">
        <v>325000</v>
      </c>
      <c r="E712" s="195">
        <v>325000</v>
      </c>
      <c r="F712" s="195">
        <v>319543.52</v>
      </c>
      <c r="G712" s="195">
        <v>304548.90999999997</v>
      </c>
      <c r="H712" s="195">
        <v>235194.06</v>
      </c>
      <c r="I712" s="195">
        <v>221748.58</v>
      </c>
    </row>
    <row r="713" spans="1:9" x14ac:dyDescent="0.2">
      <c r="A713" s="193">
        <v>1723000910</v>
      </c>
      <c r="B713" s="193" t="s">
        <v>716</v>
      </c>
    </row>
    <row r="714" spans="1:9" x14ac:dyDescent="0.2">
      <c r="A714" s="193">
        <v>1723100810</v>
      </c>
      <c r="B714" s="193" t="s">
        <v>717</v>
      </c>
      <c r="F714" s="195">
        <v>7705</v>
      </c>
      <c r="G714" s="195">
        <v>9726</v>
      </c>
      <c r="H714" s="195">
        <v>33500</v>
      </c>
    </row>
    <row r="715" spans="1:9" x14ac:dyDescent="0.2">
      <c r="A715" s="193">
        <v>1724000731</v>
      </c>
      <c r="B715" s="193" t="s">
        <v>116</v>
      </c>
      <c r="H715" s="195">
        <v>139.05000000000001</v>
      </c>
      <c r="I715" s="195">
        <v>52400.57</v>
      </c>
    </row>
    <row r="716" spans="1:9" x14ac:dyDescent="0.2">
      <c r="A716" s="193">
        <v>1724000760</v>
      </c>
      <c r="B716" s="193" t="s">
        <v>136</v>
      </c>
      <c r="H716" s="195">
        <v>81100.600000000006</v>
      </c>
    </row>
    <row r="717" spans="1:9" x14ac:dyDescent="0.2">
      <c r="A717" s="193">
        <v>1724000830</v>
      </c>
      <c r="B717" s="193" t="s">
        <v>718</v>
      </c>
      <c r="C717" s="195">
        <v>414336</v>
      </c>
      <c r="D717" s="195">
        <v>414336</v>
      </c>
      <c r="E717" s="195">
        <v>414336</v>
      </c>
      <c r="F717" s="195">
        <v>552985.92000000004</v>
      </c>
      <c r="G717" s="195">
        <v>876400</v>
      </c>
      <c r="H717" s="195">
        <v>1338000</v>
      </c>
      <c r="I717" s="195">
        <v>1337275</v>
      </c>
    </row>
    <row r="718" spans="1:9" x14ac:dyDescent="0.2">
      <c r="A718" s="193">
        <v>1726100110</v>
      </c>
      <c r="B718" s="193" t="s">
        <v>523</v>
      </c>
      <c r="C718" s="195">
        <v>213953</v>
      </c>
      <c r="D718" s="195">
        <v>166486.67000000001</v>
      </c>
      <c r="E718" s="195">
        <v>213953</v>
      </c>
      <c r="F718" s="195">
        <v>216211.45</v>
      </c>
      <c r="G718" s="195">
        <v>215754.65</v>
      </c>
      <c r="H718" s="195">
        <v>184062.13</v>
      </c>
      <c r="I718" s="195">
        <v>182833.74</v>
      </c>
    </row>
    <row r="719" spans="1:9" x14ac:dyDescent="0.2">
      <c r="A719" s="193">
        <v>1729000910</v>
      </c>
      <c r="B719" s="193" t="s">
        <v>137</v>
      </c>
    </row>
    <row r="720" spans="1:9" x14ac:dyDescent="0.2">
      <c r="A720" s="193">
        <v>1730000399</v>
      </c>
      <c r="B720" s="193" t="s">
        <v>24</v>
      </c>
    </row>
    <row r="721" spans="1:9" x14ac:dyDescent="0.2">
      <c r="A721" s="193">
        <v>1730000981</v>
      </c>
      <c r="B721" s="193" t="s">
        <v>74</v>
      </c>
      <c r="F721" s="195">
        <v>581</v>
      </c>
    </row>
    <row r="722" spans="1:9" x14ac:dyDescent="0.2">
      <c r="A722" s="193">
        <v>1731000110</v>
      </c>
      <c r="B722" s="193" t="s">
        <v>528</v>
      </c>
      <c r="C722" s="195">
        <v>2111601</v>
      </c>
      <c r="D722" s="195">
        <v>1667812.07</v>
      </c>
      <c r="E722" s="195">
        <v>2111601</v>
      </c>
      <c r="F722" s="195">
        <v>2150320.75</v>
      </c>
      <c r="G722" s="195">
        <v>1980891.08</v>
      </c>
      <c r="H722" s="195">
        <v>1743191.18</v>
      </c>
      <c r="I722" s="195">
        <v>1423927</v>
      </c>
    </row>
    <row r="723" spans="1:9" x14ac:dyDescent="0.2">
      <c r="A723" s="193">
        <v>1731000440</v>
      </c>
      <c r="B723" s="193" t="s">
        <v>719</v>
      </c>
      <c r="C723" s="195">
        <v>70200</v>
      </c>
      <c r="E723" s="195">
        <v>70200</v>
      </c>
      <c r="F723" s="195">
        <v>70200</v>
      </c>
      <c r="G723" s="195">
        <v>70200</v>
      </c>
      <c r="H723" s="195">
        <v>70200</v>
      </c>
      <c r="I723" s="195">
        <v>70200</v>
      </c>
    </row>
    <row r="724" spans="1:9" x14ac:dyDescent="0.2">
      <c r="A724" s="193">
        <v>1731000450</v>
      </c>
      <c r="B724" s="193" t="s">
        <v>720</v>
      </c>
      <c r="C724" s="195">
        <v>2000</v>
      </c>
      <c r="E724" s="195">
        <v>2000</v>
      </c>
      <c r="F724" s="195">
        <v>850</v>
      </c>
      <c r="G724" s="195">
        <v>1480</v>
      </c>
      <c r="H724" s="195">
        <v>1099.98</v>
      </c>
      <c r="I724" s="195">
        <v>652.54</v>
      </c>
    </row>
    <row r="725" spans="1:9" x14ac:dyDescent="0.2">
      <c r="A725" s="193">
        <v>1731000470</v>
      </c>
      <c r="B725" s="193" t="s">
        <v>1234</v>
      </c>
      <c r="I725" s="195">
        <v>3481.77</v>
      </c>
    </row>
    <row r="726" spans="1:9" x14ac:dyDescent="0.2">
      <c r="A726" s="193">
        <v>1731000511</v>
      </c>
      <c r="B726" s="193" t="s">
        <v>721</v>
      </c>
      <c r="C726" s="195">
        <v>3100</v>
      </c>
      <c r="D726" s="195">
        <v>3100.01</v>
      </c>
      <c r="E726" s="195">
        <v>3100</v>
      </c>
      <c r="F726" s="195">
        <v>3320</v>
      </c>
      <c r="G726" s="195">
        <v>3245.22</v>
      </c>
      <c r="H726" s="195">
        <v>3126.46</v>
      </c>
      <c r="I726" s="195">
        <v>1978.89</v>
      </c>
    </row>
    <row r="727" spans="1:9" x14ac:dyDescent="0.2">
      <c r="A727" s="193">
        <v>1731000512</v>
      </c>
      <c r="B727" s="193" t="s">
        <v>722</v>
      </c>
      <c r="C727" s="195">
        <v>1000</v>
      </c>
      <c r="E727" s="195">
        <v>1000</v>
      </c>
      <c r="F727" s="195">
        <v>1000</v>
      </c>
      <c r="G727" s="195">
        <v>2408.83</v>
      </c>
      <c r="H727" s="195">
        <v>999.91</v>
      </c>
      <c r="I727" s="195">
        <v>598.1</v>
      </c>
    </row>
    <row r="728" spans="1:9" x14ac:dyDescent="0.2">
      <c r="A728" s="193">
        <v>1731000520</v>
      </c>
      <c r="B728" s="193" t="s">
        <v>571</v>
      </c>
      <c r="C728" s="195">
        <v>2200</v>
      </c>
      <c r="D728" s="195">
        <v>540</v>
      </c>
      <c r="E728" s="195">
        <v>2200</v>
      </c>
      <c r="F728" s="195">
        <v>2090</v>
      </c>
      <c r="G728" s="195">
        <v>2218.8000000000002</v>
      </c>
      <c r="H728" s="195">
        <v>2200</v>
      </c>
      <c r="I728" s="195">
        <v>2178</v>
      </c>
    </row>
    <row r="729" spans="1:9" x14ac:dyDescent="0.2">
      <c r="A729" s="193">
        <v>1731000521</v>
      </c>
      <c r="B729" s="193" t="s">
        <v>646</v>
      </c>
      <c r="C729" s="195">
        <v>8800</v>
      </c>
      <c r="D729" s="195">
        <v>8167</v>
      </c>
      <c r="E729" s="195">
        <v>8800</v>
      </c>
      <c r="F729" s="195">
        <v>7329</v>
      </c>
      <c r="G729" s="195">
        <v>8835.34</v>
      </c>
      <c r="H729" s="195">
        <v>9302</v>
      </c>
      <c r="I729" s="195">
        <v>9460.67</v>
      </c>
    </row>
    <row r="730" spans="1:9" x14ac:dyDescent="0.2">
      <c r="A730" s="193">
        <v>1731000522</v>
      </c>
      <c r="B730" s="193" t="s">
        <v>723</v>
      </c>
      <c r="C730" s="195">
        <v>2500</v>
      </c>
      <c r="D730" s="195">
        <v>1575</v>
      </c>
      <c r="E730" s="195">
        <v>2500</v>
      </c>
      <c r="F730" s="195">
        <v>2490</v>
      </c>
      <c r="G730" s="195">
        <v>1430.9</v>
      </c>
      <c r="H730" s="195">
        <v>2500</v>
      </c>
      <c r="I730" s="195">
        <v>2442.4</v>
      </c>
    </row>
    <row r="731" spans="1:9" x14ac:dyDescent="0.2">
      <c r="A731" s="193">
        <v>1731000523</v>
      </c>
      <c r="B731" s="193" t="s">
        <v>724</v>
      </c>
      <c r="C731" s="195">
        <v>1600</v>
      </c>
      <c r="D731" s="195">
        <v>1600</v>
      </c>
      <c r="E731" s="195">
        <v>1600</v>
      </c>
      <c r="F731" s="195">
        <v>1600</v>
      </c>
      <c r="G731" s="195">
        <v>969</v>
      </c>
      <c r="H731" s="195">
        <v>1600</v>
      </c>
      <c r="I731" s="195">
        <v>919</v>
      </c>
    </row>
    <row r="732" spans="1:9" x14ac:dyDescent="0.2">
      <c r="A732" s="193">
        <v>1731000530</v>
      </c>
      <c r="B732" s="193" t="s">
        <v>138</v>
      </c>
      <c r="C732" s="195">
        <v>75000</v>
      </c>
      <c r="D732" s="195">
        <v>53517.34</v>
      </c>
      <c r="E732" s="195">
        <v>75000</v>
      </c>
      <c r="F732" s="195">
        <v>100155.17</v>
      </c>
      <c r="G732" s="195">
        <v>83082.78</v>
      </c>
      <c r="H732" s="195">
        <v>68113.240000000005</v>
      </c>
      <c r="I732" s="195">
        <v>81332.62</v>
      </c>
    </row>
    <row r="733" spans="1:9" x14ac:dyDescent="0.2">
      <c r="A733" s="193">
        <v>1731000540</v>
      </c>
      <c r="B733" s="193" t="s">
        <v>726</v>
      </c>
      <c r="G733" s="195">
        <v>171</v>
      </c>
    </row>
    <row r="734" spans="1:9" x14ac:dyDescent="0.2">
      <c r="A734" s="193">
        <v>1731000550</v>
      </c>
      <c r="B734" s="193" t="s">
        <v>727</v>
      </c>
      <c r="C734" s="195">
        <v>4000</v>
      </c>
      <c r="D734" s="195">
        <v>4000</v>
      </c>
      <c r="E734" s="195">
        <v>4000</v>
      </c>
      <c r="F734" s="195">
        <v>3460</v>
      </c>
      <c r="G734" s="195">
        <v>5295.45</v>
      </c>
      <c r="H734" s="195">
        <v>4404.5200000000004</v>
      </c>
      <c r="I734" s="195">
        <v>4690</v>
      </c>
    </row>
    <row r="735" spans="1:9" x14ac:dyDescent="0.2">
      <c r="A735" s="193">
        <v>1731000560</v>
      </c>
      <c r="B735" s="193" t="s">
        <v>728</v>
      </c>
      <c r="C735" s="195">
        <v>17000</v>
      </c>
      <c r="D735" s="195">
        <v>7392.25</v>
      </c>
      <c r="E735" s="195">
        <v>17000</v>
      </c>
      <c r="F735" s="195">
        <v>16143.74</v>
      </c>
      <c r="G735" s="195">
        <v>11936.94</v>
      </c>
      <c r="H735" s="195">
        <v>18765.900000000001</v>
      </c>
      <c r="I735" s="195">
        <v>8502.99</v>
      </c>
    </row>
    <row r="736" spans="1:9" x14ac:dyDescent="0.2">
      <c r="A736" s="193">
        <v>1731000570</v>
      </c>
      <c r="B736" s="193" t="s">
        <v>729</v>
      </c>
      <c r="C736" s="195">
        <v>96000</v>
      </c>
      <c r="D736" s="195">
        <v>76283.12</v>
      </c>
      <c r="E736" s="195">
        <v>96000</v>
      </c>
      <c r="F736" s="195">
        <v>113473.21</v>
      </c>
      <c r="G736" s="195">
        <v>66119.66</v>
      </c>
      <c r="H736" s="195">
        <v>31429.19</v>
      </c>
      <c r="I736" s="195">
        <v>41035.69</v>
      </c>
    </row>
    <row r="737" spans="1:9" x14ac:dyDescent="0.2">
      <c r="A737" s="193">
        <v>1731000580</v>
      </c>
      <c r="B737" s="193" t="s">
        <v>1235</v>
      </c>
      <c r="F737" s="195">
        <v>235.79</v>
      </c>
      <c r="G737" s="195">
        <v>491.6</v>
      </c>
      <c r="H737" s="195">
        <v>333.2</v>
      </c>
      <c r="I737" s="195">
        <v>960.86</v>
      </c>
    </row>
    <row r="738" spans="1:9" x14ac:dyDescent="0.2">
      <c r="A738" s="193">
        <v>1731000720</v>
      </c>
      <c r="B738" s="193" t="s">
        <v>1236</v>
      </c>
      <c r="I738" s="195">
        <v>1165.08</v>
      </c>
    </row>
    <row r="739" spans="1:9" x14ac:dyDescent="0.2">
      <c r="A739" s="193">
        <v>1731000740</v>
      </c>
      <c r="B739" s="193" t="s">
        <v>1237</v>
      </c>
      <c r="I739" s="195">
        <v>1247.67</v>
      </c>
    </row>
    <row r="740" spans="1:9" x14ac:dyDescent="0.2">
      <c r="A740" s="193">
        <v>1731000750</v>
      </c>
      <c r="B740" s="193" t="s">
        <v>730</v>
      </c>
      <c r="C740" s="195">
        <v>30000</v>
      </c>
      <c r="D740" s="195">
        <v>19802.64</v>
      </c>
      <c r="E740" s="195">
        <v>30000</v>
      </c>
      <c r="F740" s="195">
        <v>-0.49</v>
      </c>
      <c r="G740" s="195">
        <v>39654.800000000003</v>
      </c>
      <c r="H740" s="195">
        <v>14500</v>
      </c>
      <c r="I740" s="195">
        <v>138154.96</v>
      </c>
    </row>
    <row r="741" spans="1:9" x14ac:dyDescent="0.2">
      <c r="A741" s="193">
        <v>1731000760</v>
      </c>
      <c r="B741" s="193" t="s">
        <v>552</v>
      </c>
      <c r="H741" s="195">
        <v>30197.040000000001</v>
      </c>
    </row>
    <row r="742" spans="1:9" x14ac:dyDescent="0.2">
      <c r="A742" s="193">
        <v>1731000780</v>
      </c>
      <c r="B742" s="193" t="s">
        <v>731</v>
      </c>
      <c r="C742" s="195">
        <v>125000</v>
      </c>
      <c r="D742" s="195">
        <v>65618.899999999994</v>
      </c>
      <c r="E742" s="195">
        <v>125000</v>
      </c>
      <c r="F742" s="195">
        <v>134302.1</v>
      </c>
      <c r="G742" s="195">
        <v>178470.58</v>
      </c>
      <c r="H742" s="195">
        <v>151031.53</v>
      </c>
      <c r="I742" s="195">
        <v>6983.3</v>
      </c>
    </row>
    <row r="743" spans="1:9" x14ac:dyDescent="0.2">
      <c r="A743" s="193">
        <v>1731000910</v>
      </c>
      <c r="B743" s="193" t="s">
        <v>716</v>
      </c>
      <c r="H743" s="195">
        <v>1185</v>
      </c>
    </row>
    <row r="744" spans="1:9" x14ac:dyDescent="0.2">
      <c r="A744" s="193">
        <v>1731000930</v>
      </c>
      <c r="B744" s="193" t="s">
        <v>732</v>
      </c>
      <c r="C744" s="195">
        <v>3500</v>
      </c>
      <c r="D744" s="195">
        <v>1779</v>
      </c>
      <c r="E744" s="195">
        <v>3500</v>
      </c>
      <c r="F744" s="195">
        <v>4975.1000000000004</v>
      </c>
      <c r="G744" s="195">
        <v>3160.52</v>
      </c>
      <c r="H744" s="195">
        <v>4736.3999999999996</v>
      </c>
      <c r="I744" s="195">
        <v>5000</v>
      </c>
    </row>
    <row r="745" spans="1:9" x14ac:dyDescent="0.2">
      <c r="A745" s="193">
        <v>1731100530</v>
      </c>
      <c r="B745" s="193" t="s">
        <v>1455</v>
      </c>
      <c r="C745" s="195">
        <v>75000</v>
      </c>
      <c r="D745" s="195">
        <v>38656.660000000003</v>
      </c>
      <c r="E745" s="195">
        <v>75000</v>
      </c>
      <c r="F745" s="195">
        <v>67467.399999999994</v>
      </c>
      <c r="G745" s="195">
        <v>80819.929999999993</v>
      </c>
      <c r="H745" s="195">
        <v>15978.55</v>
      </c>
    </row>
    <row r="746" spans="1:9" x14ac:dyDescent="0.2">
      <c r="A746" s="193">
        <v>1731100731</v>
      </c>
      <c r="B746" s="193" t="s">
        <v>117</v>
      </c>
      <c r="G746" s="195">
        <v>2136</v>
      </c>
      <c r="H746" s="195">
        <v>667</v>
      </c>
    </row>
    <row r="747" spans="1:9" x14ac:dyDescent="0.2">
      <c r="A747" s="193">
        <v>1732000110</v>
      </c>
      <c r="B747" s="193" t="s">
        <v>528</v>
      </c>
      <c r="C747" s="195">
        <v>628236</v>
      </c>
      <c r="D747" s="195">
        <v>532624.81000000006</v>
      </c>
      <c r="E747" s="195">
        <v>628236</v>
      </c>
      <c r="F747" s="195">
        <v>482923.93</v>
      </c>
      <c r="G747" s="195">
        <v>242619.69</v>
      </c>
      <c r="H747" s="195">
        <v>234720.2</v>
      </c>
      <c r="I747" s="195">
        <v>226657.39</v>
      </c>
    </row>
    <row r="748" spans="1:9" x14ac:dyDescent="0.2">
      <c r="A748" s="193">
        <v>1732000560</v>
      </c>
      <c r="B748" s="193" t="s">
        <v>728</v>
      </c>
      <c r="C748" s="195">
        <v>2000</v>
      </c>
      <c r="D748" s="195">
        <v>1776.81</v>
      </c>
      <c r="E748" s="195">
        <v>2000</v>
      </c>
      <c r="F748" s="195">
        <v>1311.84</v>
      </c>
      <c r="G748" s="195">
        <v>2500.66</v>
      </c>
      <c r="H748" s="195">
        <v>1943.99</v>
      </c>
      <c r="I748" s="195">
        <v>2162.62</v>
      </c>
    </row>
    <row r="749" spans="1:9" x14ac:dyDescent="0.2">
      <c r="A749" s="193">
        <v>1732000750</v>
      </c>
      <c r="B749" s="193" t="s">
        <v>730</v>
      </c>
      <c r="C749" s="195">
        <v>13000</v>
      </c>
      <c r="D749" s="195">
        <v>6252</v>
      </c>
      <c r="E749" s="195">
        <v>13000</v>
      </c>
      <c r="F749" s="195">
        <v>450</v>
      </c>
      <c r="G749" s="195">
        <v>4327</v>
      </c>
      <c r="H749" s="195">
        <v>11898</v>
      </c>
      <c r="I749" s="195">
        <v>11898</v>
      </c>
    </row>
    <row r="750" spans="1:9" x14ac:dyDescent="0.2">
      <c r="A750" s="193">
        <v>1732000780</v>
      </c>
      <c r="B750" s="193" t="s">
        <v>731</v>
      </c>
      <c r="C750" s="195">
        <v>26000</v>
      </c>
      <c r="D750" s="195">
        <v>5617.53</v>
      </c>
      <c r="E750" s="195">
        <v>26000</v>
      </c>
      <c r="F750" s="195">
        <v>32270.79</v>
      </c>
      <c r="G750" s="195">
        <v>38771.56</v>
      </c>
      <c r="H750" s="195">
        <v>42364</v>
      </c>
      <c r="I750" s="195">
        <v>62199.360000000001</v>
      </c>
    </row>
    <row r="751" spans="1:9" x14ac:dyDescent="0.2">
      <c r="A751" s="193">
        <v>1732000950</v>
      </c>
      <c r="B751" s="193" t="s">
        <v>735</v>
      </c>
      <c r="C751" s="195">
        <v>5000</v>
      </c>
      <c r="D751" s="195">
        <v>4999.45</v>
      </c>
      <c r="E751" s="195">
        <v>5000</v>
      </c>
      <c r="F751" s="195">
        <v>5420.09</v>
      </c>
      <c r="G751" s="195">
        <v>10897</v>
      </c>
      <c r="H751" s="195">
        <v>3800</v>
      </c>
      <c r="I751" s="195">
        <v>40627.1</v>
      </c>
    </row>
    <row r="752" spans="1:9" x14ac:dyDescent="0.2">
      <c r="A752" s="193">
        <v>1733100110</v>
      </c>
      <c r="B752" s="193" t="s">
        <v>529</v>
      </c>
      <c r="C752" s="195">
        <v>1481318</v>
      </c>
      <c r="D752" s="195">
        <v>1122066.72</v>
      </c>
      <c r="E752" s="195">
        <v>1481318</v>
      </c>
      <c r="F752" s="195">
        <v>1693186.33</v>
      </c>
      <c r="G752" s="195">
        <v>1440364.15</v>
      </c>
      <c r="H752" s="195">
        <v>1255168.8799999999</v>
      </c>
      <c r="I752" s="195">
        <v>1038517.94</v>
      </c>
    </row>
    <row r="753" spans="1:9" x14ac:dyDescent="0.2">
      <c r="A753" s="193">
        <v>1733100560</v>
      </c>
      <c r="B753" s="193" t="s">
        <v>728</v>
      </c>
      <c r="C753" s="195">
        <v>4500</v>
      </c>
      <c r="D753" s="195">
        <v>2512.35</v>
      </c>
      <c r="E753" s="195">
        <v>4500</v>
      </c>
      <c r="F753" s="195">
        <v>5088.28</v>
      </c>
      <c r="G753" s="195">
        <v>6008.93</v>
      </c>
      <c r="H753" s="195">
        <v>6880.6</v>
      </c>
      <c r="I753" s="195">
        <v>7542.94</v>
      </c>
    </row>
    <row r="754" spans="1:9" x14ac:dyDescent="0.2">
      <c r="A754" s="193">
        <v>1733100731</v>
      </c>
      <c r="B754" s="193" t="s">
        <v>139</v>
      </c>
      <c r="C754" s="195">
        <v>13000</v>
      </c>
      <c r="D754" s="195">
        <v>6195.19</v>
      </c>
      <c r="E754" s="195">
        <v>13000</v>
      </c>
      <c r="F754" s="195">
        <v>16851.830000000002</v>
      </c>
      <c r="G754" s="195">
        <v>12842.65</v>
      </c>
      <c r="H754" s="195">
        <v>13062.96</v>
      </c>
    </row>
    <row r="755" spans="1:9" x14ac:dyDescent="0.2">
      <c r="A755" s="193">
        <v>1733100750</v>
      </c>
      <c r="B755" s="193" t="s">
        <v>730</v>
      </c>
      <c r="I755" s="195">
        <v>2829</v>
      </c>
    </row>
    <row r="756" spans="1:9" x14ac:dyDescent="0.2">
      <c r="A756" s="193">
        <v>1733100780</v>
      </c>
      <c r="B756" s="193" t="s">
        <v>731</v>
      </c>
      <c r="C756" s="195">
        <v>2300</v>
      </c>
      <c r="D756" s="195">
        <v>1830</v>
      </c>
      <c r="E756" s="195">
        <v>2300</v>
      </c>
      <c r="F756" s="195">
        <v>2300</v>
      </c>
      <c r="G756" s="195">
        <v>2779.65</v>
      </c>
      <c r="H756" s="195">
        <v>1435.47</v>
      </c>
      <c r="I756" s="195">
        <v>3841.96</v>
      </c>
    </row>
    <row r="757" spans="1:9" x14ac:dyDescent="0.2">
      <c r="A757" s="193">
        <v>1733100930</v>
      </c>
      <c r="B757" s="193" t="s">
        <v>732</v>
      </c>
      <c r="C757" s="195">
        <v>4500</v>
      </c>
      <c r="D757" s="195">
        <v>4500</v>
      </c>
      <c r="E757" s="195">
        <v>4500</v>
      </c>
      <c r="F757" s="195">
        <v>5000</v>
      </c>
      <c r="G757" s="195">
        <v>4530</v>
      </c>
      <c r="H757" s="195">
        <v>5250</v>
      </c>
      <c r="I757" s="195">
        <v>5140</v>
      </c>
    </row>
    <row r="758" spans="1:9" x14ac:dyDescent="0.2">
      <c r="A758" s="193">
        <v>1733200780</v>
      </c>
      <c r="B758" s="193" t="s">
        <v>580</v>
      </c>
      <c r="C758" s="195">
        <v>6000</v>
      </c>
      <c r="D758" s="195">
        <v>3107.3</v>
      </c>
      <c r="E758" s="195">
        <v>6000</v>
      </c>
      <c r="F758" s="195">
        <v>5998</v>
      </c>
      <c r="G758" s="195">
        <v>12122.6</v>
      </c>
      <c r="H758" s="195">
        <v>5300</v>
      </c>
      <c r="I758" s="195">
        <v>6000</v>
      </c>
    </row>
    <row r="759" spans="1:9" x14ac:dyDescent="0.2">
      <c r="A759" s="193">
        <v>1740000399</v>
      </c>
      <c r="B759" s="193" t="s">
        <v>24</v>
      </c>
    </row>
    <row r="760" spans="1:9" x14ac:dyDescent="0.2">
      <c r="A760" s="193">
        <v>1741000110</v>
      </c>
      <c r="B760" s="193" t="s">
        <v>140</v>
      </c>
    </row>
    <row r="761" spans="1:9" x14ac:dyDescent="0.2">
      <c r="A761" s="193">
        <v>1741000750</v>
      </c>
      <c r="B761" s="193" t="s">
        <v>736</v>
      </c>
      <c r="C761" s="195">
        <v>30000</v>
      </c>
      <c r="E761" s="195">
        <v>30000</v>
      </c>
      <c r="F761" s="195">
        <v>-0.23</v>
      </c>
      <c r="G761" s="195">
        <v>29995.200000000001</v>
      </c>
      <c r="H761" s="195">
        <v>105529.84</v>
      </c>
      <c r="I761" s="195">
        <v>207326.22</v>
      </c>
    </row>
    <row r="762" spans="1:9" x14ac:dyDescent="0.2">
      <c r="A762" s="193">
        <v>1741000780</v>
      </c>
      <c r="B762" s="193" t="s">
        <v>835</v>
      </c>
    </row>
    <row r="763" spans="1:9" x14ac:dyDescent="0.2">
      <c r="A763" s="193">
        <v>1742000440</v>
      </c>
      <c r="B763" s="193" t="s">
        <v>558</v>
      </c>
      <c r="C763" s="195">
        <v>11010</v>
      </c>
      <c r="D763" s="195">
        <v>10092.75</v>
      </c>
      <c r="E763" s="195">
        <v>11010</v>
      </c>
      <c r="F763" s="195">
        <v>8509.25</v>
      </c>
      <c r="G763" s="195">
        <v>8253</v>
      </c>
      <c r="H763" s="195">
        <v>5505</v>
      </c>
      <c r="I763" s="195">
        <v>7666.45</v>
      </c>
    </row>
    <row r="764" spans="1:9" x14ac:dyDescent="0.2">
      <c r="A764" s="193">
        <v>1742000560</v>
      </c>
      <c r="B764" s="193" t="s">
        <v>728</v>
      </c>
      <c r="C764" s="195">
        <v>3000</v>
      </c>
      <c r="E764" s="195">
        <v>3000</v>
      </c>
      <c r="G764" s="195">
        <v>3050</v>
      </c>
      <c r="I764" s="195">
        <v>2999.99</v>
      </c>
    </row>
    <row r="765" spans="1:9" x14ac:dyDescent="0.2">
      <c r="A765" s="193">
        <v>1742000720</v>
      </c>
      <c r="B765" s="193" t="s">
        <v>689</v>
      </c>
      <c r="C765" s="195">
        <v>100000</v>
      </c>
      <c r="D765" s="195">
        <v>22984.37</v>
      </c>
      <c r="E765" s="195">
        <v>100000</v>
      </c>
      <c r="G765" s="195">
        <v>110467.01</v>
      </c>
      <c r="H765" s="195">
        <v>67762.600000000006</v>
      </c>
      <c r="I765" s="195">
        <v>41823.4</v>
      </c>
    </row>
    <row r="766" spans="1:9" x14ac:dyDescent="0.2">
      <c r="A766" s="193">
        <v>1742000740</v>
      </c>
      <c r="B766" s="193" t="s">
        <v>737</v>
      </c>
      <c r="G766" s="195">
        <v>1700</v>
      </c>
      <c r="I766" s="195">
        <v>1000</v>
      </c>
    </row>
    <row r="767" spans="1:9" x14ac:dyDescent="0.2">
      <c r="A767" s="193">
        <v>1742000750</v>
      </c>
      <c r="B767" s="193" t="s">
        <v>714</v>
      </c>
      <c r="C767" s="195">
        <v>85000</v>
      </c>
      <c r="D767" s="195">
        <v>46179.57</v>
      </c>
      <c r="E767" s="195">
        <v>85000</v>
      </c>
      <c r="F767" s="195">
        <v>-1.48</v>
      </c>
      <c r="G767" s="195">
        <v>86020.3</v>
      </c>
      <c r="H767" s="195">
        <v>30088.15</v>
      </c>
      <c r="I767" s="195">
        <v>68692.08</v>
      </c>
    </row>
    <row r="768" spans="1:9" x14ac:dyDescent="0.2">
      <c r="A768" s="193">
        <v>1742000780</v>
      </c>
      <c r="B768" s="193" t="s">
        <v>580</v>
      </c>
    </row>
    <row r="769" spans="1:9" x14ac:dyDescent="0.2">
      <c r="A769" s="193">
        <v>1742000910</v>
      </c>
      <c r="B769" s="193" t="s">
        <v>738</v>
      </c>
      <c r="C769" s="195">
        <v>60000</v>
      </c>
      <c r="E769" s="195">
        <v>60000</v>
      </c>
      <c r="F769" s="195">
        <v>58438.22</v>
      </c>
      <c r="G769" s="195">
        <v>160000</v>
      </c>
      <c r="H769" s="195">
        <v>67754</v>
      </c>
    </row>
    <row r="770" spans="1:9" x14ac:dyDescent="0.2">
      <c r="A770" s="193">
        <v>1742000930</v>
      </c>
      <c r="B770" s="193" t="s">
        <v>739</v>
      </c>
      <c r="C770" s="195">
        <v>50000</v>
      </c>
      <c r="D770" s="195">
        <v>4979.99</v>
      </c>
      <c r="E770" s="195">
        <v>85000</v>
      </c>
      <c r="G770" s="195">
        <v>95000.5</v>
      </c>
      <c r="H770" s="195">
        <v>75609.94</v>
      </c>
      <c r="I770" s="195">
        <v>100000</v>
      </c>
    </row>
    <row r="771" spans="1:9" x14ac:dyDescent="0.2">
      <c r="A771" s="193">
        <v>1743000110</v>
      </c>
      <c r="B771" s="193" t="s">
        <v>523</v>
      </c>
      <c r="C771" s="195">
        <v>1349613</v>
      </c>
      <c r="D771" s="195">
        <v>1049304.3</v>
      </c>
      <c r="E771" s="195">
        <v>1349613</v>
      </c>
      <c r="F771" s="195">
        <v>1171048.75</v>
      </c>
      <c r="G771" s="195">
        <v>1093250.57</v>
      </c>
      <c r="H771" s="195">
        <v>1049389.6299999999</v>
      </c>
      <c r="I771" s="195">
        <v>969986.4</v>
      </c>
    </row>
    <row r="772" spans="1:9" x14ac:dyDescent="0.2">
      <c r="A772" s="193">
        <v>1743000720</v>
      </c>
      <c r="B772" s="193" t="s">
        <v>826</v>
      </c>
      <c r="C772" s="195">
        <v>200000</v>
      </c>
      <c r="D772" s="195">
        <v>69365.039999999994</v>
      </c>
      <c r="E772" s="195">
        <v>200000</v>
      </c>
      <c r="G772" s="195">
        <v>223719.34</v>
      </c>
      <c r="H772" s="195">
        <v>160100.10999999999</v>
      </c>
      <c r="I772" s="195">
        <v>165709.9</v>
      </c>
    </row>
    <row r="773" spans="1:9" x14ac:dyDescent="0.2">
      <c r="A773" s="193">
        <v>1743000740</v>
      </c>
      <c r="B773" s="193" t="s">
        <v>737</v>
      </c>
      <c r="C773" s="195">
        <v>30000</v>
      </c>
      <c r="E773" s="195">
        <v>30000</v>
      </c>
      <c r="G773" s="195">
        <v>34894</v>
      </c>
      <c r="H773" s="195">
        <v>37871.47</v>
      </c>
      <c r="I773" s="195">
        <v>29600.1</v>
      </c>
    </row>
    <row r="774" spans="1:9" x14ac:dyDescent="0.2">
      <c r="A774" s="193">
        <v>1743000742</v>
      </c>
      <c r="B774" s="193" t="s">
        <v>1163</v>
      </c>
      <c r="C774" s="195">
        <v>15000</v>
      </c>
      <c r="E774" s="195">
        <v>15000</v>
      </c>
      <c r="G774" s="195">
        <v>11778.3</v>
      </c>
    </row>
    <row r="775" spans="1:9" x14ac:dyDescent="0.2">
      <c r="A775" s="193">
        <v>1743000750</v>
      </c>
      <c r="B775" s="193" t="s">
        <v>714</v>
      </c>
      <c r="C775" s="195">
        <v>150000</v>
      </c>
      <c r="D775" s="195">
        <v>37945.360000000001</v>
      </c>
      <c r="E775" s="195">
        <v>150000</v>
      </c>
      <c r="F775" s="195">
        <v>105537</v>
      </c>
      <c r="G775" s="195">
        <v>45765.15</v>
      </c>
      <c r="H775" s="195">
        <v>68604.39</v>
      </c>
      <c r="I775" s="195">
        <v>73096.649999999994</v>
      </c>
    </row>
    <row r="776" spans="1:9" x14ac:dyDescent="0.2">
      <c r="A776" s="193">
        <v>1743000751</v>
      </c>
      <c r="B776" s="193" t="s">
        <v>141</v>
      </c>
    </row>
    <row r="777" spans="1:9" x14ac:dyDescent="0.2">
      <c r="A777" s="193">
        <v>1743000770</v>
      </c>
      <c r="B777" s="193" t="s">
        <v>740</v>
      </c>
      <c r="C777" s="195">
        <v>3550000</v>
      </c>
      <c r="D777" s="195">
        <v>2054811.41</v>
      </c>
      <c r="E777" s="195">
        <v>3550000</v>
      </c>
      <c r="F777" s="195">
        <v>3313545.24</v>
      </c>
      <c r="G777" s="195">
        <v>3402780.37</v>
      </c>
      <c r="H777" s="195">
        <v>2850651.13</v>
      </c>
      <c r="I777" s="195">
        <v>2496034.7599999998</v>
      </c>
    </row>
    <row r="778" spans="1:9" x14ac:dyDescent="0.2">
      <c r="A778" s="193">
        <v>1743000780</v>
      </c>
      <c r="B778" s="193" t="s">
        <v>580</v>
      </c>
      <c r="F778" s="195">
        <v>1300</v>
      </c>
      <c r="H778" s="195">
        <v>10179</v>
      </c>
    </row>
    <row r="779" spans="1:9" x14ac:dyDescent="0.2">
      <c r="A779" s="193">
        <v>1743000910</v>
      </c>
      <c r="B779" s="193" t="s">
        <v>741</v>
      </c>
      <c r="G779" s="195">
        <v>590335</v>
      </c>
      <c r="H779" s="195">
        <v>57328</v>
      </c>
    </row>
    <row r="780" spans="1:9" x14ac:dyDescent="0.2">
      <c r="A780" s="193">
        <v>1743000981</v>
      </c>
      <c r="B780" s="193" t="s">
        <v>74</v>
      </c>
      <c r="F780" s="195">
        <v>665</v>
      </c>
    </row>
    <row r="781" spans="1:9" x14ac:dyDescent="0.2">
      <c r="A781" s="193">
        <v>1743001731</v>
      </c>
      <c r="B781" s="193" t="s">
        <v>742</v>
      </c>
      <c r="C781" s="195">
        <v>28000</v>
      </c>
      <c r="D781" s="195">
        <v>19677.62</v>
      </c>
      <c r="E781" s="195">
        <v>44000</v>
      </c>
      <c r="F781" s="195">
        <v>36488.36</v>
      </c>
      <c r="G781" s="195">
        <v>46385.7</v>
      </c>
      <c r="H781" s="195">
        <v>41824</v>
      </c>
      <c r="I781" s="195">
        <v>46349.33</v>
      </c>
    </row>
    <row r="782" spans="1:9" x14ac:dyDescent="0.2">
      <c r="A782" s="193">
        <v>1743002731</v>
      </c>
      <c r="B782" s="193" t="s">
        <v>743</v>
      </c>
      <c r="C782" s="195">
        <v>32000</v>
      </c>
      <c r="D782" s="195">
        <v>24994.799999999999</v>
      </c>
      <c r="E782" s="195">
        <v>35000</v>
      </c>
      <c r="F782" s="195">
        <v>43004.38</v>
      </c>
      <c r="G782" s="195">
        <v>67699.63</v>
      </c>
      <c r="H782" s="195">
        <v>48396.89</v>
      </c>
      <c r="I782" s="195">
        <v>38545.22</v>
      </c>
    </row>
    <row r="783" spans="1:9" x14ac:dyDescent="0.2">
      <c r="A783" s="193">
        <v>1743003731</v>
      </c>
      <c r="B783" s="193" t="s">
        <v>744</v>
      </c>
      <c r="C783" s="195">
        <v>30000</v>
      </c>
      <c r="D783" s="195">
        <v>23434.84</v>
      </c>
      <c r="E783" s="195">
        <v>18000</v>
      </c>
      <c r="F783" s="195">
        <v>15991.85</v>
      </c>
      <c r="G783" s="195">
        <v>16284.55</v>
      </c>
      <c r="H783" s="195">
        <v>26397.81</v>
      </c>
      <c r="I783" s="195">
        <v>12316.53</v>
      </c>
    </row>
    <row r="784" spans="1:9" x14ac:dyDescent="0.2">
      <c r="A784" s="193">
        <v>1743004731</v>
      </c>
      <c r="B784" s="193" t="s">
        <v>745</v>
      </c>
      <c r="C784" s="195">
        <v>1300</v>
      </c>
      <c r="D784" s="195">
        <v>868</v>
      </c>
      <c r="E784" s="195">
        <v>7000</v>
      </c>
      <c r="F784" s="195">
        <v>2534.34</v>
      </c>
      <c r="G784" s="195">
        <v>7121.47</v>
      </c>
      <c r="H784" s="195">
        <v>4377.33</v>
      </c>
      <c r="I784" s="195">
        <v>3167.94</v>
      </c>
    </row>
    <row r="785" spans="1:9" x14ac:dyDescent="0.2">
      <c r="A785" s="193">
        <v>1743005731</v>
      </c>
      <c r="B785" s="193" t="s">
        <v>746</v>
      </c>
      <c r="C785" s="195">
        <v>1200</v>
      </c>
      <c r="D785" s="195">
        <v>800</v>
      </c>
      <c r="E785" s="195">
        <v>1000</v>
      </c>
      <c r="F785" s="195">
        <v>1492</v>
      </c>
      <c r="G785" s="195">
        <v>1111</v>
      </c>
      <c r="H785" s="195">
        <v>1813</v>
      </c>
      <c r="I785" s="195">
        <v>804</v>
      </c>
    </row>
    <row r="786" spans="1:9" x14ac:dyDescent="0.2">
      <c r="A786" s="193">
        <v>1743006731</v>
      </c>
      <c r="B786" s="193" t="s">
        <v>747</v>
      </c>
      <c r="C786" s="195">
        <v>1150</v>
      </c>
      <c r="D786" s="195">
        <v>833</v>
      </c>
      <c r="E786" s="195">
        <v>1000</v>
      </c>
      <c r="F786" s="195">
        <v>1146</v>
      </c>
      <c r="G786" s="195">
        <v>1299</v>
      </c>
      <c r="H786" s="195">
        <v>1186</v>
      </c>
      <c r="I786" s="195">
        <v>1060</v>
      </c>
    </row>
    <row r="787" spans="1:9" x14ac:dyDescent="0.2">
      <c r="A787" s="193">
        <v>1743007530</v>
      </c>
      <c r="B787" s="193" t="s">
        <v>142</v>
      </c>
      <c r="C787" s="195">
        <v>57000</v>
      </c>
      <c r="D787" s="195">
        <v>39370.25</v>
      </c>
      <c r="E787" s="195">
        <v>50000</v>
      </c>
      <c r="F787" s="195">
        <v>58193.99</v>
      </c>
    </row>
    <row r="788" spans="1:9" x14ac:dyDescent="0.2">
      <c r="A788" s="193">
        <v>1743007731</v>
      </c>
      <c r="B788" s="193" t="s">
        <v>1511</v>
      </c>
      <c r="F788" s="195">
        <v>2381.89</v>
      </c>
      <c r="G788" s="195">
        <v>44302.45</v>
      </c>
    </row>
    <row r="789" spans="1:9" x14ac:dyDescent="0.2">
      <c r="A789" s="193">
        <v>1743008530</v>
      </c>
      <c r="B789" s="193" t="s">
        <v>1510</v>
      </c>
      <c r="D789" s="195">
        <v>6466.06</v>
      </c>
    </row>
    <row r="790" spans="1:9" x14ac:dyDescent="0.2">
      <c r="A790" s="193">
        <v>1743200530</v>
      </c>
      <c r="B790" s="193" t="s">
        <v>118</v>
      </c>
      <c r="C790" s="195">
        <v>46000</v>
      </c>
      <c r="D790" s="195">
        <v>29591.68</v>
      </c>
      <c r="E790" s="195">
        <v>50000</v>
      </c>
      <c r="F790" s="195">
        <v>20983.57</v>
      </c>
    </row>
    <row r="791" spans="1:9" x14ac:dyDescent="0.2">
      <c r="A791" s="193">
        <v>1744000742</v>
      </c>
      <c r="B791" s="193" t="s">
        <v>1164</v>
      </c>
      <c r="C791" s="195">
        <v>20000</v>
      </c>
      <c r="E791" s="195">
        <v>20000</v>
      </c>
    </row>
    <row r="792" spans="1:9" x14ac:dyDescent="0.2">
      <c r="A792" s="193">
        <v>1744000910</v>
      </c>
      <c r="B792" s="193" t="s">
        <v>738</v>
      </c>
      <c r="C792" s="195">
        <v>100000</v>
      </c>
      <c r="D792" s="195">
        <v>7683</v>
      </c>
      <c r="E792" s="195">
        <v>100000</v>
      </c>
      <c r="F792" s="195">
        <v>27685</v>
      </c>
      <c r="G792" s="195">
        <v>2249665</v>
      </c>
      <c r="H792" s="195">
        <v>150897.1</v>
      </c>
    </row>
    <row r="793" spans="1:9" x14ac:dyDescent="0.2">
      <c r="A793" s="193">
        <v>1744300780</v>
      </c>
      <c r="B793" s="193" t="s">
        <v>143</v>
      </c>
    </row>
    <row r="794" spans="1:9" x14ac:dyDescent="0.2">
      <c r="A794" s="193">
        <v>1744400521</v>
      </c>
      <c r="B794" s="193" t="s">
        <v>646</v>
      </c>
      <c r="C794" s="195">
        <v>1000</v>
      </c>
      <c r="E794" s="195">
        <v>1000</v>
      </c>
      <c r="F794" s="195">
        <v>1000</v>
      </c>
      <c r="H794" s="195">
        <v>1000</v>
      </c>
    </row>
    <row r="795" spans="1:9" x14ac:dyDescent="0.2">
      <c r="A795" s="193">
        <v>1744400522</v>
      </c>
      <c r="B795" s="193" t="s">
        <v>748</v>
      </c>
      <c r="C795" s="195">
        <v>1000</v>
      </c>
      <c r="E795" s="195">
        <v>1000</v>
      </c>
      <c r="F795" s="195">
        <v>1006</v>
      </c>
      <c r="H795" s="195">
        <v>1000</v>
      </c>
      <c r="I795" s="195">
        <v>1000</v>
      </c>
    </row>
    <row r="796" spans="1:9" x14ac:dyDescent="0.2">
      <c r="A796" s="193">
        <v>1744400750</v>
      </c>
      <c r="B796" s="193" t="s">
        <v>749</v>
      </c>
      <c r="C796" s="195">
        <v>4000</v>
      </c>
      <c r="D796" s="195">
        <v>4000</v>
      </c>
      <c r="E796" s="195">
        <v>4000</v>
      </c>
      <c r="F796" s="195">
        <v>3999.2</v>
      </c>
      <c r="G796" s="195">
        <v>4108</v>
      </c>
      <c r="H796" s="195">
        <v>6772.81</v>
      </c>
      <c r="I796" s="195">
        <v>4000</v>
      </c>
    </row>
    <row r="797" spans="1:9" x14ac:dyDescent="0.2">
      <c r="A797" s="193">
        <v>1745000810</v>
      </c>
      <c r="B797" s="193" t="s">
        <v>750</v>
      </c>
      <c r="C797" s="195">
        <v>354409</v>
      </c>
      <c r="D797" s="195">
        <v>354409</v>
      </c>
      <c r="E797" s="195">
        <v>354409</v>
      </c>
      <c r="F797" s="195">
        <v>336363</v>
      </c>
      <c r="G797" s="195">
        <v>292753</v>
      </c>
      <c r="H797" s="195">
        <v>333346</v>
      </c>
      <c r="I797" s="195">
        <v>276000</v>
      </c>
    </row>
    <row r="798" spans="1:9" x14ac:dyDescent="0.2">
      <c r="A798" s="193">
        <v>1746000110</v>
      </c>
      <c r="B798" s="193" t="s">
        <v>523</v>
      </c>
      <c r="C798" s="195">
        <v>344071</v>
      </c>
      <c r="D798" s="195">
        <v>259801.32</v>
      </c>
      <c r="E798" s="195">
        <v>344071</v>
      </c>
      <c r="F798" s="195">
        <v>439073.19</v>
      </c>
      <c r="G798" s="195">
        <v>516525.29</v>
      </c>
      <c r="H798" s="195">
        <v>515889.71</v>
      </c>
      <c r="I798" s="195">
        <v>526957.11</v>
      </c>
    </row>
    <row r="799" spans="1:9" x14ac:dyDescent="0.2">
      <c r="A799" s="193">
        <v>1746000210</v>
      </c>
      <c r="B799" s="193" t="s">
        <v>920</v>
      </c>
    </row>
    <row r="800" spans="1:9" x14ac:dyDescent="0.2">
      <c r="A800" s="193">
        <v>1746000430</v>
      </c>
      <c r="B800" s="193" t="s">
        <v>751</v>
      </c>
      <c r="C800" s="195">
        <v>2500000</v>
      </c>
      <c r="D800" s="195">
        <v>871211.49</v>
      </c>
      <c r="E800" s="195">
        <v>2350000</v>
      </c>
      <c r="F800" s="195">
        <v>3084670.78</v>
      </c>
      <c r="G800" s="195">
        <v>3749066.15</v>
      </c>
      <c r="H800" s="195">
        <v>2293523.56</v>
      </c>
      <c r="I800" s="195">
        <v>2048978.89</v>
      </c>
    </row>
    <row r="801" spans="1:9" x14ac:dyDescent="0.2">
      <c r="A801" s="193">
        <v>1746000530</v>
      </c>
      <c r="B801" s="193" t="s">
        <v>1509</v>
      </c>
      <c r="D801" s="195">
        <v>4698.6099999999997</v>
      </c>
    </row>
    <row r="802" spans="1:9" x14ac:dyDescent="0.2">
      <c r="A802" s="193">
        <v>1746000720</v>
      </c>
      <c r="B802" s="193" t="s">
        <v>752</v>
      </c>
      <c r="C802" s="195">
        <v>100000</v>
      </c>
      <c r="D802" s="195">
        <v>66410</v>
      </c>
      <c r="E802" s="195">
        <v>100000</v>
      </c>
      <c r="G802" s="195">
        <v>104504</v>
      </c>
      <c r="H802" s="195">
        <v>100551.66</v>
      </c>
      <c r="I802" s="195">
        <v>129158.8</v>
      </c>
    </row>
    <row r="803" spans="1:9" x14ac:dyDescent="0.2">
      <c r="A803" s="193">
        <v>1746000731</v>
      </c>
      <c r="B803" s="193" t="s">
        <v>753</v>
      </c>
      <c r="C803" s="195">
        <v>2000</v>
      </c>
      <c r="D803" s="195">
        <v>868</v>
      </c>
      <c r="E803" s="195">
        <v>2000</v>
      </c>
      <c r="F803" s="195">
        <v>3069</v>
      </c>
      <c r="G803" s="195">
        <v>1340</v>
      </c>
      <c r="H803" s="195">
        <v>5495.75</v>
      </c>
      <c r="I803" s="195">
        <v>3054</v>
      </c>
    </row>
    <row r="804" spans="1:9" x14ac:dyDescent="0.2">
      <c r="A804" s="193">
        <v>1746000732</v>
      </c>
      <c r="B804" s="193" t="s">
        <v>754</v>
      </c>
      <c r="C804" s="195">
        <v>4000</v>
      </c>
      <c r="E804" s="195">
        <v>4000</v>
      </c>
      <c r="F804" s="195">
        <v>5038</v>
      </c>
      <c r="G804" s="195">
        <v>4885</v>
      </c>
      <c r="H804" s="195">
        <v>2297</v>
      </c>
      <c r="I804" s="195">
        <v>2727</v>
      </c>
    </row>
    <row r="805" spans="1:9" x14ac:dyDescent="0.2">
      <c r="A805" s="193">
        <v>1746000740</v>
      </c>
      <c r="B805" s="193" t="s">
        <v>755</v>
      </c>
      <c r="C805" s="195">
        <v>45000</v>
      </c>
      <c r="D805" s="195">
        <v>23788</v>
      </c>
      <c r="E805" s="195">
        <v>45000</v>
      </c>
      <c r="G805" s="195">
        <v>45805</v>
      </c>
      <c r="H805" s="195">
        <v>44992</v>
      </c>
      <c r="I805" s="195">
        <v>39674</v>
      </c>
    </row>
    <row r="806" spans="1:9" x14ac:dyDescent="0.2">
      <c r="A806" s="193">
        <v>1746000750</v>
      </c>
      <c r="B806" s="193" t="s">
        <v>756</v>
      </c>
      <c r="C806" s="195">
        <v>3017000</v>
      </c>
      <c r="D806" s="195">
        <v>2016920.55</v>
      </c>
      <c r="E806" s="195">
        <v>3017000</v>
      </c>
      <c r="F806" s="195">
        <v>2809398.33</v>
      </c>
      <c r="G806" s="195">
        <v>3098592.52</v>
      </c>
      <c r="H806" s="195">
        <v>3382211.56</v>
      </c>
      <c r="I806" s="195">
        <v>3332480.36</v>
      </c>
    </row>
    <row r="807" spans="1:9" x14ac:dyDescent="0.2">
      <c r="A807" s="193">
        <v>1746000751</v>
      </c>
      <c r="B807" s="193" t="s">
        <v>757</v>
      </c>
      <c r="F807" s="195">
        <v>179784.8</v>
      </c>
      <c r="G807" s="195">
        <v>103946.2</v>
      </c>
      <c r="H807" s="195">
        <v>99999.1</v>
      </c>
    </row>
    <row r="808" spans="1:9" x14ac:dyDescent="0.2">
      <c r="A808" s="193">
        <v>1746000752</v>
      </c>
      <c r="B808" s="193" t="s">
        <v>758</v>
      </c>
      <c r="C808" s="195">
        <v>980000</v>
      </c>
      <c r="D808" s="195">
        <v>562419</v>
      </c>
      <c r="E808" s="195">
        <v>936000</v>
      </c>
      <c r="F808" s="195">
        <v>925818</v>
      </c>
      <c r="G808" s="195">
        <v>891605</v>
      </c>
      <c r="H808" s="195">
        <v>772204</v>
      </c>
      <c r="I808" s="195">
        <v>466472</v>
      </c>
    </row>
    <row r="809" spans="1:9" x14ac:dyDescent="0.2">
      <c r="A809" s="193">
        <v>1746000753</v>
      </c>
      <c r="B809" s="193" t="s">
        <v>144</v>
      </c>
      <c r="C809" s="195">
        <v>50000</v>
      </c>
      <c r="D809" s="195">
        <v>24000</v>
      </c>
      <c r="E809" s="195">
        <v>50000</v>
      </c>
      <c r="G809" s="195">
        <v>170280</v>
      </c>
    </row>
    <row r="810" spans="1:9" x14ac:dyDescent="0.2">
      <c r="A810" s="193">
        <v>1746000754</v>
      </c>
      <c r="B810" s="193" t="s">
        <v>145</v>
      </c>
      <c r="G810" s="195">
        <v>69600</v>
      </c>
    </row>
    <row r="811" spans="1:9" x14ac:dyDescent="0.2">
      <c r="A811" s="193">
        <v>1746000770</v>
      </c>
      <c r="B811" s="193" t="s">
        <v>759</v>
      </c>
      <c r="C811" s="195">
        <v>5000</v>
      </c>
      <c r="E811" s="195">
        <v>5000</v>
      </c>
      <c r="F811" s="195">
        <v>4590.8500000000004</v>
      </c>
      <c r="G811" s="195">
        <v>7017.33</v>
      </c>
      <c r="H811" s="195">
        <v>11435.98</v>
      </c>
      <c r="I811" s="195">
        <v>3731</v>
      </c>
    </row>
    <row r="812" spans="1:9" x14ac:dyDescent="0.2">
      <c r="A812" s="193">
        <v>1746000780</v>
      </c>
      <c r="B812" s="193" t="s">
        <v>760</v>
      </c>
      <c r="C812" s="195">
        <v>18000</v>
      </c>
      <c r="D812" s="195">
        <v>244.93</v>
      </c>
      <c r="E812" s="195">
        <v>18000</v>
      </c>
      <c r="F812" s="195">
        <v>15774.35</v>
      </c>
      <c r="G812" s="195">
        <v>18321.11</v>
      </c>
      <c r="H812" s="195">
        <v>26978.12</v>
      </c>
      <c r="I812" s="195">
        <v>17658.11</v>
      </c>
    </row>
    <row r="813" spans="1:9" x14ac:dyDescent="0.2">
      <c r="A813" s="193">
        <v>1746000930</v>
      </c>
      <c r="B813" s="193" t="s">
        <v>146</v>
      </c>
    </row>
    <row r="814" spans="1:9" x14ac:dyDescent="0.2">
      <c r="A814" s="193">
        <v>1746000931</v>
      </c>
      <c r="B814" s="193" t="s">
        <v>761</v>
      </c>
      <c r="C814" s="195">
        <v>35000</v>
      </c>
      <c r="D814" s="195">
        <v>5605</v>
      </c>
      <c r="E814" s="195">
        <v>35000</v>
      </c>
      <c r="G814" s="195">
        <v>33680.93</v>
      </c>
      <c r="H814" s="195">
        <v>34946</v>
      </c>
      <c r="I814" s="195">
        <v>37709</v>
      </c>
    </row>
    <row r="815" spans="1:9" x14ac:dyDescent="0.2">
      <c r="A815" s="193">
        <v>1746100110</v>
      </c>
      <c r="B815" s="193" t="s">
        <v>530</v>
      </c>
      <c r="C815" s="195">
        <v>2083369</v>
      </c>
      <c r="D815" s="195">
        <v>1622231.19</v>
      </c>
      <c r="E815" s="195">
        <v>2083369</v>
      </c>
      <c r="F815" s="195">
        <v>1944789.49</v>
      </c>
      <c r="G815" s="195">
        <v>1928924.59</v>
      </c>
      <c r="H815" s="195">
        <v>1776551.67</v>
      </c>
      <c r="I815" s="195">
        <v>1588924.26</v>
      </c>
    </row>
    <row r="816" spans="1:9" x14ac:dyDescent="0.2">
      <c r="A816" s="193">
        <v>1746100210</v>
      </c>
      <c r="B816" s="193" t="s">
        <v>249</v>
      </c>
      <c r="F816" s="195">
        <v>5605.07</v>
      </c>
      <c r="G816" s="195">
        <v>5630.28</v>
      </c>
    </row>
    <row r="817" spans="1:9" x14ac:dyDescent="0.2">
      <c r="A817" s="193">
        <v>1746100560</v>
      </c>
      <c r="B817" s="193" t="s">
        <v>762</v>
      </c>
      <c r="C817" s="195">
        <v>2000</v>
      </c>
      <c r="E817" s="195">
        <v>2000</v>
      </c>
      <c r="F817" s="195">
        <v>2316.59</v>
      </c>
      <c r="G817" s="195">
        <v>1509.92</v>
      </c>
      <c r="H817" s="195">
        <v>1395.36</v>
      </c>
    </row>
    <row r="818" spans="1:9" x14ac:dyDescent="0.2">
      <c r="A818" s="193">
        <v>1746100720</v>
      </c>
      <c r="B818" s="193" t="s">
        <v>763</v>
      </c>
      <c r="C818" s="195">
        <v>200000</v>
      </c>
      <c r="D818" s="195">
        <v>79109.66</v>
      </c>
      <c r="E818" s="195">
        <v>250000</v>
      </c>
      <c r="F818" s="195">
        <v>2221.94</v>
      </c>
      <c r="G818" s="195">
        <v>188097.38</v>
      </c>
      <c r="H818" s="195">
        <v>200383.6</v>
      </c>
      <c r="I818" s="195">
        <v>200151.12</v>
      </c>
    </row>
    <row r="819" spans="1:9" x14ac:dyDescent="0.2">
      <c r="A819" s="193">
        <v>1746100731</v>
      </c>
      <c r="B819" s="193" t="s">
        <v>764</v>
      </c>
      <c r="C819" s="195">
        <v>50000</v>
      </c>
      <c r="D819" s="195">
        <v>37634.800000000003</v>
      </c>
      <c r="E819" s="195">
        <v>50000</v>
      </c>
      <c r="F819" s="195">
        <v>50391.9</v>
      </c>
      <c r="G819" s="195">
        <v>60594.01</v>
      </c>
      <c r="H819" s="195">
        <v>40143.19</v>
      </c>
      <c r="I819" s="195">
        <v>50418.86</v>
      </c>
    </row>
    <row r="820" spans="1:9" x14ac:dyDescent="0.2">
      <c r="A820" s="193">
        <v>1746100732</v>
      </c>
      <c r="B820" s="193" t="s">
        <v>1508</v>
      </c>
      <c r="D820" s="195">
        <v>1575</v>
      </c>
      <c r="G820" s="195">
        <v>26924.28</v>
      </c>
      <c r="H820" s="195">
        <v>28049.75</v>
      </c>
    </row>
    <row r="821" spans="1:9" x14ac:dyDescent="0.2">
      <c r="A821" s="193">
        <v>1746100733</v>
      </c>
      <c r="B821" s="193" t="s">
        <v>1507</v>
      </c>
      <c r="D821" s="195">
        <v>3150</v>
      </c>
      <c r="F821" s="195">
        <v>53</v>
      </c>
      <c r="G821" s="195">
        <v>19925.740000000002</v>
      </c>
      <c r="H821" s="195">
        <v>23224.31</v>
      </c>
    </row>
    <row r="822" spans="1:9" x14ac:dyDescent="0.2">
      <c r="A822" s="193">
        <v>1746100740</v>
      </c>
      <c r="B822" s="193" t="s">
        <v>767</v>
      </c>
      <c r="C822" s="195">
        <v>25000</v>
      </c>
      <c r="D822" s="195">
        <v>22314.58</v>
      </c>
      <c r="E822" s="195">
        <v>25000</v>
      </c>
      <c r="F822" s="195">
        <v>4256.67</v>
      </c>
      <c r="G822" s="195">
        <v>26550.6</v>
      </c>
      <c r="H822" s="195">
        <v>21329.360000000001</v>
      </c>
      <c r="I822" s="195">
        <v>24291.56</v>
      </c>
    </row>
    <row r="823" spans="1:9" x14ac:dyDescent="0.2">
      <c r="A823" s="193">
        <v>1746100750</v>
      </c>
      <c r="B823" s="193" t="s">
        <v>1152</v>
      </c>
      <c r="C823" s="195">
        <v>400000</v>
      </c>
      <c r="D823" s="195">
        <v>226132.79</v>
      </c>
      <c r="E823" s="195">
        <v>350000</v>
      </c>
      <c r="F823" s="195">
        <v>370905.98</v>
      </c>
      <c r="G823" s="195">
        <v>313900.96999999997</v>
      </c>
    </row>
    <row r="824" spans="1:9" x14ac:dyDescent="0.2">
      <c r="A824" s="193">
        <v>1746100780</v>
      </c>
      <c r="B824" s="193" t="s">
        <v>768</v>
      </c>
      <c r="C824" s="195">
        <v>4500</v>
      </c>
      <c r="D824" s="195">
        <v>3570.8</v>
      </c>
      <c r="E824" s="195">
        <v>4500</v>
      </c>
      <c r="F824" s="195">
        <v>15822.66</v>
      </c>
      <c r="G824" s="195">
        <v>4500</v>
      </c>
      <c r="H824" s="195">
        <v>4600</v>
      </c>
      <c r="I824" s="195">
        <v>5039.3900000000003</v>
      </c>
    </row>
    <row r="825" spans="1:9" x14ac:dyDescent="0.2">
      <c r="A825" s="193">
        <v>1746101731</v>
      </c>
      <c r="B825" s="193" t="s">
        <v>1506</v>
      </c>
      <c r="C825" s="195">
        <v>21000</v>
      </c>
      <c r="D825" s="195">
        <v>15682.6</v>
      </c>
      <c r="E825" s="195">
        <v>24000</v>
      </c>
      <c r="F825" s="195">
        <v>23126.77</v>
      </c>
    </row>
    <row r="826" spans="1:9" x14ac:dyDescent="0.2">
      <c r="A826" s="193">
        <v>1746102731</v>
      </c>
      <c r="B826" s="193" t="s">
        <v>1505</v>
      </c>
      <c r="C826" s="195">
        <v>18000</v>
      </c>
      <c r="D826" s="195">
        <v>12860.16</v>
      </c>
      <c r="E826" s="195">
        <v>25000</v>
      </c>
      <c r="F826" s="195">
        <v>24169.71</v>
      </c>
    </row>
    <row r="827" spans="1:9" x14ac:dyDescent="0.2">
      <c r="A827" s="193">
        <v>1746103731</v>
      </c>
      <c r="B827" s="193" t="s">
        <v>1504</v>
      </c>
    </row>
    <row r="828" spans="1:9" x14ac:dyDescent="0.2">
      <c r="A828" s="193">
        <v>1746200731</v>
      </c>
      <c r="B828" s="193" t="s">
        <v>119</v>
      </c>
      <c r="G828" s="195">
        <v>23437.17</v>
      </c>
      <c r="H828" s="195">
        <v>16739</v>
      </c>
      <c r="I828" s="195">
        <v>12829.76</v>
      </c>
    </row>
    <row r="829" spans="1:9" x14ac:dyDescent="0.2">
      <c r="A829" s="193">
        <v>1746300731</v>
      </c>
      <c r="B829" s="193" t="s">
        <v>770</v>
      </c>
      <c r="C829" s="195">
        <v>40000</v>
      </c>
      <c r="D829" s="195">
        <v>29635.3</v>
      </c>
      <c r="E829" s="195">
        <v>43000</v>
      </c>
      <c r="F829" s="195">
        <v>46080.15</v>
      </c>
      <c r="G829" s="195">
        <v>31370.59</v>
      </c>
      <c r="H829" s="195">
        <v>16161.04</v>
      </c>
    </row>
    <row r="830" spans="1:9" x14ac:dyDescent="0.2">
      <c r="A830" s="193">
        <v>1746400731</v>
      </c>
      <c r="B830" s="193" t="s">
        <v>1503</v>
      </c>
      <c r="C830" s="195">
        <v>22000</v>
      </c>
      <c r="D830" s="195">
        <v>13629.8</v>
      </c>
    </row>
    <row r="831" spans="1:9" x14ac:dyDescent="0.2">
      <c r="A831" s="193">
        <v>1747000731</v>
      </c>
      <c r="B831" s="193" t="s">
        <v>771</v>
      </c>
      <c r="C831" s="195">
        <v>20000</v>
      </c>
      <c r="D831" s="195">
        <v>3401.93</v>
      </c>
      <c r="E831" s="195">
        <v>15000</v>
      </c>
      <c r="F831" s="195">
        <v>11521.18</v>
      </c>
      <c r="G831" s="195">
        <v>15834.9</v>
      </c>
      <c r="H831" s="195">
        <v>8348.93</v>
      </c>
      <c r="I831" s="195">
        <v>14750.57</v>
      </c>
    </row>
    <row r="832" spans="1:9" x14ac:dyDescent="0.2">
      <c r="A832" s="193">
        <v>1747200110</v>
      </c>
      <c r="B832" s="193" t="s">
        <v>531</v>
      </c>
      <c r="F832" s="195">
        <v>101301.49</v>
      </c>
      <c r="G832" s="195">
        <v>237154.91</v>
      </c>
      <c r="H832" s="195">
        <v>222855.92</v>
      </c>
      <c r="I832" s="195">
        <v>174042.98</v>
      </c>
    </row>
    <row r="833" spans="1:9" x14ac:dyDescent="0.2">
      <c r="A833" s="193">
        <v>1747200432</v>
      </c>
      <c r="B833" s="193" t="s">
        <v>772</v>
      </c>
    </row>
    <row r="834" spans="1:9" x14ac:dyDescent="0.2">
      <c r="A834" s="193">
        <v>1747200731</v>
      </c>
      <c r="B834" s="193" t="s">
        <v>1502</v>
      </c>
    </row>
    <row r="835" spans="1:9" x14ac:dyDescent="0.2">
      <c r="A835" s="193">
        <v>1747200780</v>
      </c>
      <c r="B835" s="193" t="s">
        <v>773</v>
      </c>
      <c r="C835" s="195">
        <v>1050000</v>
      </c>
      <c r="D835" s="195">
        <v>784469.87</v>
      </c>
      <c r="E835" s="195">
        <v>1093000</v>
      </c>
      <c r="F835" s="195">
        <v>1073566.3700000001</v>
      </c>
      <c r="G835" s="195">
        <v>951670.38</v>
      </c>
      <c r="H835" s="195">
        <v>925309.23</v>
      </c>
      <c r="I835" s="195">
        <v>877976.45</v>
      </c>
    </row>
    <row r="836" spans="1:9" x14ac:dyDescent="0.2">
      <c r="A836" s="193">
        <v>1747220530</v>
      </c>
      <c r="B836" s="193" t="s">
        <v>774</v>
      </c>
      <c r="C836" s="195">
        <v>6500</v>
      </c>
      <c r="E836" s="195">
        <v>16000</v>
      </c>
      <c r="F836" s="195">
        <v>11749.34</v>
      </c>
    </row>
    <row r="837" spans="1:9" x14ac:dyDescent="0.2">
      <c r="A837" s="193">
        <v>1747220731</v>
      </c>
      <c r="B837" s="193" t="s">
        <v>1501</v>
      </c>
      <c r="G837" s="195">
        <v>16288.1</v>
      </c>
      <c r="H837" s="195">
        <v>12951.17</v>
      </c>
    </row>
    <row r="838" spans="1:9" x14ac:dyDescent="0.2">
      <c r="A838" s="193">
        <v>1749000110</v>
      </c>
      <c r="B838" s="193" t="s">
        <v>523</v>
      </c>
      <c r="C838" s="195">
        <v>934593</v>
      </c>
      <c r="D838" s="195">
        <v>716546.85</v>
      </c>
      <c r="E838" s="195">
        <v>934593</v>
      </c>
      <c r="F838" s="195">
        <v>1301547.76</v>
      </c>
      <c r="G838" s="195">
        <v>1431812.14</v>
      </c>
      <c r="H838" s="195">
        <v>1283997.06</v>
      </c>
      <c r="I838" s="195">
        <v>1207021.73</v>
      </c>
    </row>
    <row r="839" spans="1:9" x14ac:dyDescent="0.2">
      <c r="A839" s="193">
        <v>1749000731</v>
      </c>
      <c r="B839" s="193" t="s">
        <v>1500</v>
      </c>
      <c r="C839" s="195">
        <v>20000</v>
      </c>
      <c r="D839" s="195">
        <v>20198.330000000002</v>
      </c>
      <c r="E839" s="195">
        <v>20000</v>
      </c>
      <c r="F839" s="195">
        <v>20618.73</v>
      </c>
      <c r="G839" s="195">
        <v>21561.81</v>
      </c>
      <c r="H839" s="195">
        <v>25114.07</v>
      </c>
      <c r="I839" s="195">
        <v>19538.7</v>
      </c>
    </row>
    <row r="840" spans="1:9" x14ac:dyDescent="0.2">
      <c r="A840" s="193">
        <v>1749000750</v>
      </c>
      <c r="B840" s="193" t="s">
        <v>714</v>
      </c>
      <c r="C840" s="195">
        <v>20000</v>
      </c>
      <c r="E840" s="195">
        <v>20000</v>
      </c>
      <c r="G840" s="195">
        <v>12342.73</v>
      </c>
      <c r="H840" s="195">
        <v>10019.700000000001</v>
      </c>
      <c r="I840" s="195">
        <v>6992</v>
      </c>
    </row>
    <row r="841" spans="1:9" x14ac:dyDescent="0.2">
      <c r="A841" s="193">
        <v>1749000770</v>
      </c>
      <c r="B841" s="193" t="s">
        <v>740</v>
      </c>
    </row>
    <row r="842" spans="1:9" x14ac:dyDescent="0.2">
      <c r="A842" s="193">
        <v>1749000981</v>
      </c>
      <c r="B842" s="193" t="s">
        <v>74</v>
      </c>
      <c r="F842" s="195">
        <v>119</v>
      </c>
    </row>
    <row r="843" spans="1:9" x14ac:dyDescent="0.2">
      <c r="A843" s="193">
        <v>1751000110</v>
      </c>
      <c r="B843" s="193" t="s">
        <v>919</v>
      </c>
      <c r="F843" s="195">
        <v>1009.83</v>
      </c>
      <c r="G843" s="195">
        <v>1561.39</v>
      </c>
    </row>
    <row r="844" spans="1:9" x14ac:dyDescent="0.2">
      <c r="A844" s="193">
        <v>1751000530</v>
      </c>
      <c r="B844" s="193" t="s">
        <v>1499</v>
      </c>
    </row>
    <row r="845" spans="1:9" x14ac:dyDescent="0.2">
      <c r="A845" s="193">
        <v>1751000780</v>
      </c>
      <c r="B845" s="193" t="s">
        <v>776</v>
      </c>
      <c r="C845" s="195">
        <v>775000</v>
      </c>
      <c r="D845" s="195">
        <v>742168.22</v>
      </c>
      <c r="E845" s="195">
        <v>775000</v>
      </c>
      <c r="F845" s="195">
        <v>831057.45</v>
      </c>
      <c r="G845" s="195">
        <v>832333.1</v>
      </c>
      <c r="H845" s="195">
        <v>815483.24</v>
      </c>
      <c r="I845" s="195">
        <v>553592.74</v>
      </c>
    </row>
    <row r="846" spans="1:9" x14ac:dyDescent="0.2">
      <c r="A846" s="193">
        <v>1751000910</v>
      </c>
      <c r="B846" s="193" t="s">
        <v>738</v>
      </c>
    </row>
    <row r="847" spans="1:9" x14ac:dyDescent="0.2">
      <c r="A847" s="193">
        <v>1751001731</v>
      </c>
      <c r="B847" s="193" t="s">
        <v>1498</v>
      </c>
      <c r="C847" s="195">
        <v>80000</v>
      </c>
      <c r="D847" s="195">
        <v>47089.02</v>
      </c>
      <c r="E847" s="195">
        <v>35000</v>
      </c>
      <c r="F847" s="195">
        <v>42896.39</v>
      </c>
      <c r="G847" s="195">
        <v>34874.300000000003</v>
      </c>
      <c r="H847" s="195">
        <v>30456.35</v>
      </c>
      <c r="I847" s="195">
        <v>31846.06</v>
      </c>
    </row>
    <row r="848" spans="1:9" x14ac:dyDescent="0.2">
      <c r="A848" s="193">
        <v>1751001780</v>
      </c>
      <c r="B848" s="193" t="s">
        <v>778</v>
      </c>
      <c r="C848" s="195">
        <v>250000</v>
      </c>
      <c r="D848" s="195">
        <v>64605.97</v>
      </c>
      <c r="E848" s="195">
        <v>250000</v>
      </c>
      <c r="F848" s="195">
        <v>302054.01</v>
      </c>
      <c r="G848" s="195">
        <v>250868</v>
      </c>
      <c r="H848" s="195">
        <v>251485.71</v>
      </c>
      <c r="I848" s="195">
        <v>250000</v>
      </c>
    </row>
    <row r="849" spans="1:9" x14ac:dyDescent="0.2">
      <c r="A849" s="193">
        <v>1751002110</v>
      </c>
      <c r="B849" s="193" t="s">
        <v>919</v>
      </c>
    </row>
    <row r="850" spans="1:9" x14ac:dyDescent="0.2">
      <c r="A850" s="193">
        <v>1751002731</v>
      </c>
      <c r="B850" s="193" t="s">
        <v>779</v>
      </c>
      <c r="C850" s="195">
        <v>2000</v>
      </c>
      <c r="D850" s="195">
        <v>2553</v>
      </c>
      <c r="E850" s="195">
        <v>2000</v>
      </c>
      <c r="F850" s="195">
        <v>1146</v>
      </c>
      <c r="G850" s="195">
        <v>1144</v>
      </c>
      <c r="H850" s="195">
        <v>1306</v>
      </c>
      <c r="I850" s="195">
        <v>819</v>
      </c>
    </row>
    <row r="851" spans="1:9" x14ac:dyDescent="0.2">
      <c r="A851" s="193">
        <v>1751002780</v>
      </c>
      <c r="B851" s="193" t="s">
        <v>780</v>
      </c>
      <c r="C851" s="195">
        <v>262000</v>
      </c>
      <c r="D851" s="195">
        <v>654858.98</v>
      </c>
      <c r="E851" s="195">
        <v>832000</v>
      </c>
      <c r="F851" s="195">
        <v>450989.91</v>
      </c>
      <c r="G851" s="195">
        <v>607504.62</v>
      </c>
      <c r="H851" s="195">
        <v>452104.42</v>
      </c>
      <c r="I851" s="195">
        <v>437080.87</v>
      </c>
    </row>
    <row r="852" spans="1:9" x14ac:dyDescent="0.2">
      <c r="A852" s="193">
        <v>1751003731</v>
      </c>
      <c r="B852" s="193" t="s">
        <v>781</v>
      </c>
      <c r="C852" s="195">
        <v>1000</v>
      </c>
      <c r="D852" s="195">
        <v>1626</v>
      </c>
      <c r="E852" s="195">
        <v>1000</v>
      </c>
      <c r="F852" s="195">
        <v>1187</v>
      </c>
      <c r="G852" s="195">
        <v>1111</v>
      </c>
      <c r="H852" s="195">
        <v>1286</v>
      </c>
      <c r="I852" s="195">
        <v>819</v>
      </c>
    </row>
    <row r="853" spans="1:9" x14ac:dyDescent="0.2">
      <c r="A853" s="193">
        <v>1751003780</v>
      </c>
      <c r="B853" s="193" t="s">
        <v>147</v>
      </c>
      <c r="C853" s="195">
        <v>70000</v>
      </c>
      <c r="D853" s="195">
        <v>55103.3</v>
      </c>
      <c r="E853" s="195">
        <v>70000</v>
      </c>
      <c r="F853" s="195">
        <v>94136.73</v>
      </c>
      <c r="G853" s="195">
        <v>76559</v>
      </c>
    </row>
    <row r="854" spans="1:9" x14ac:dyDescent="0.2">
      <c r="A854" s="193">
        <v>1751004731</v>
      </c>
      <c r="B854" s="193" t="s">
        <v>1497</v>
      </c>
      <c r="C854" s="195">
        <v>14000</v>
      </c>
      <c r="D854" s="195">
        <v>2202.1999999999998</v>
      </c>
      <c r="E854" s="195">
        <v>14000</v>
      </c>
      <c r="F854" s="195">
        <v>8925.4699999999993</v>
      </c>
    </row>
    <row r="855" spans="1:9" x14ac:dyDescent="0.2">
      <c r="A855" s="193">
        <v>1751078110</v>
      </c>
      <c r="B855" s="193" t="s">
        <v>919</v>
      </c>
      <c r="I855" s="195">
        <v>0.13</v>
      </c>
    </row>
    <row r="856" spans="1:9" x14ac:dyDescent="0.2">
      <c r="A856" s="193">
        <v>1751150780</v>
      </c>
      <c r="B856" s="193" t="s">
        <v>782</v>
      </c>
      <c r="G856" s="195">
        <v>525000</v>
      </c>
      <c r="H856" s="195">
        <v>500000</v>
      </c>
    </row>
    <row r="857" spans="1:9" x14ac:dyDescent="0.2">
      <c r="A857" s="193">
        <v>1751150810</v>
      </c>
      <c r="B857" s="193" t="s">
        <v>794</v>
      </c>
    </row>
    <row r="858" spans="1:9" x14ac:dyDescent="0.2">
      <c r="A858" s="193">
        <v>1751150811</v>
      </c>
      <c r="B858" s="193" t="s">
        <v>78</v>
      </c>
      <c r="C858" s="195">
        <v>250000</v>
      </c>
      <c r="D858" s="195">
        <v>250000</v>
      </c>
      <c r="E858" s="195">
        <v>250000</v>
      </c>
      <c r="F858" s="195">
        <v>246250</v>
      </c>
    </row>
    <row r="859" spans="1:9" x14ac:dyDescent="0.2">
      <c r="A859" s="193">
        <v>1751150812</v>
      </c>
      <c r="B859" s="193" t="s">
        <v>120</v>
      </c>
      <c r="C859" s="195">
        <v>110000</v>
      </c>
      <c r="E859" s="195">
        <v>110000</v>
      </c>
      <c r="F859" s="195">
        <v>110000</v>
      </c>
    </row>
    <row r="860" spans="1:9" x14ac:dyDescent="0.2">
      <c r="A860" s="193">
        <v>1751160780</v>
      </c>
      <c r="B860" s="193" t="s">
        <v>1333</v>
      </c>
      <c r="C860" s="195">
        <v>150000</v>
      </c>
      <c r="D860" s="195">
        <v>117890</v>
      </c>
      <c r="E860" s="195">
        <v>150000</v>
      </c>
      <c r="F860" s="195">
        <v>148770</v>
      </c>
      <c r="G860" s="195">
        <v>97586</v>
      </c>
    </row>
    <row r="861" spans="1:9" x14ac:dyDescent="0.2">
      <c r="A861" s="193">
        <v>1752001731</v>
      </c>
      <c r="B861" s="193" t="s">
        <v>148</v>
      </c>
    </row>
    <row r="862" spans="1:9" x14ac:dyDescent="0.2">
      <c r="A862" s="193">
        <v>1752100810</v>
      </c>
      <c r="B862" s="193" t="s">
        <v>783</v>
      </c>
      <c r="C862" s="195">
        <v>80000</v>
      </c>
      <c r="D862" s="195">
        <v>81583</v>
      </c>
      <c r="E862" s="195">
        <v>75000</v>
      </c>
      <c r="F862" s="195">
        <v>60036</v>
      </c>
      <c r="G862" s="195">
        <v>79974</v>
      </c>
      <c r="H862" s="195">
        <v>95786</v>
      </c>
      <c r="I862" s="195">
        <v>70744.850000000006</v>
      </c>
    </row>
    <row r="863" spans="1:9" x14ac:dyDescent="0.2">
      <c r="A863" s="193">
        <v>1760000399</v>
      </c>
      <c r="B863" s="193" t="s">
        <v>24</v>
      </c>
    </row>
    <row r="864" spans="1:9" x14ac:dyDescent="0.2">
      <c r="A864" s="193">
        <v>1760000811</v>
      </c>
      <c r="B864" s="193" t="s">
        <v>149</v>
      </c>
    </row>
    <row r="865" spans="1:9" x14ac:dyDescent="0.2">
      <c r="A865" s="193">
        <v>1760000910</v>
      </c>
      <c r="B865" s="193" t="s">
        <v>704</v>
      </c>
    </row>
    <row r="866" spans="1:9" x14ac:dyDescent="0.2">
      <c r="A866" s="193">
        <v>1760000981</v>
      </c>
      <c r="B866" s="193" t="s">
        <v>74</v>
      </c>
      <c r="F866" s="195">
        <v>35</v>
      </c>
    </row>
    <row r="867" spans="1:9" x14ac:dyDescent="0.2">
      <c r="A867" s="193">
        <v>1761000110</v>
      </c>
      <c r="B867" s="193" t="s">
        <v>532</v>
      </c>
      <c r="C867" s="195">
        <v>321894</v>
      </c>
      <c r="D867" s="195">
        <v>244197.61</v>
      </c>
      <c r="E867" s="195">
        <v>321894</v>
      </c>
      <c r="F867" s="195">
        <v>263261.63</v>
      </c>
      <c r="G867" s="195">
        <v>260112.9</v>
      </c>
      <c r="H867" s="195">
        <v>242120.68</v>
      </c>
      <c r="I867" s="195">
        <v>466334.85</v>
      </c>
    </row>
    <row r="868" spans="1:9" x14ac:dyDescent="0.2">
      <c r="A868" s="193">
        <v>1761000210</v>
      </c>
      <c r="B868" s="193" t="s">
        <v>250</v>
      </c>
      <c r="C868" s="195">
        <v>52852</v>
      </c>
      <c r="D868" s="195">
        <v>41237.550000000003</v>
      </c>
      <c r="E868" s="195">
        <v>52852</v>
      </c>
      <c r="F868" s="195">
        <v>2824.01</v>
      </c>
    </row>
    <row r="869" spans="1:9" x14ac:dyDescent="0.2">
      <c r="A869" s="193">
        <v>1761000420</v>
      </c>
      <c r="B869" s="193" t="s">
        <v>784</v>
      </c>
      <c r="C869" s="195">
        <v>22000</v>
      </c>
      <c r="D869" s="195">
        <v>15380.57</v>
      </c>
      <c r="E869" s="195">
        <v>22000</v>
      </c>
      <c r="F869" s="195">
        <v>19959.55</v>
      </c>
      <c r="G869" s="195">
        <v>22819.26</v>
      </c>
      <c r="H869" s="195">
        <v>16710.580000000002</v>
      </c>
      <c r="I869" s="195">
        <v>15738.56</v>
      </c>
    </row>
    <row r="870" spans="1:9" x14ac:dyDescent="0.2">
      <c r="A870" s="193">
        <v>1761000430</v>
      </c>
      <c r="B870" s="193" t="s">
        <v>150</v>
      </c>
      <c r="G870" s="195">
        <v>409.1</v>
      </c>
      <c r="H870" s="195">
        <v>536.05999999999995</v>
      </c>
    </row>
    <row r="871" spans="1:9" x14ac:dyDescent="0.2">
      <c r="A871" s="193">
        <v>1761000470</v>
      </c>
      <c r="B871" s="193" t="s">
        <v>785</v>
      </c>
      <c r="C871" s="195">
        <v>3000</v>
      </c>
      <c r="D871" s="195">
        <v>1298.29</v>
      </c>
      <c r="E871" s="195">
        <v>3000</v>
      </c>
      <c r="F871" s="195">
        <v>3430.88</v>
      </c>
      <c r="G871" s="195">
        <v>1623.15</v>
      </c>
      <c r="H871" s="195">
        <v>1718.7</v>
      </c>
      <c r="I871" s="195">
        <v>1500</v>
      </c>
    </row>
    <row r="872" spans="1:9" x14ac:dyDescent="0.2">
      <c r="A872" s="193">
        <v>1761000540</v>
      </c>
      <c r="B872" s="193" t="s">
        <v>786</v>
      </c>
      <c r="C872" s="195">
        <v>6000</v>
      </c>
      <c r="D872" s="195">
        <v>11301.86</v>
      </c>
      <c r="E872" s="195">
        <v>6000</v>
      </c>
      <c r="F872" s="195">
        <v>7593.94</v>
      </c>
      <c r="G872" s="195">
        <v>5329.86</v>
      </c>
      <c r="H872" s="195">
        <v>5182.45</v>
      </c>
      <c r="I872" s="195">
        <v>4408.58</v>
      </c>
    </row>
    <row r="873" spans="1:9" x14ac:dyDescent="0.2">
      <c r="A873" s="193">
        <v>1761000731</v>
      </c>
      <c r="B873" s="193" t="s">
        <v>121</v>
      </c>
      <c r="D873" s="195">
        <v>1182</v>
      </c>
      <c r="F873" s="195">
        <v>1809.13</v>
      </c>
      <c r="G873" s="195">
        <v>21443.66</v>
      </c>
      <c r="H873" s="195">
        <v>22191.94</v>
      </c>
      <c r="I873" s="195">
        <v>18883.29</v>
      </c>
    </row>
    <row r="874" spans="1:9" x14ac:dyDescent="0.2">
      <c r="A874" s="193">
        <v>1761000930</v>
      </c>
      <c r="B874" s="193" t="s">
        <v>788</v>
      </c>
      <c r="C874" s="195">
        <v>3500</v>
      </c>
      <c r="D874" s="195">
        <v>826</v>
      </c>
      <c r="E874" s="195">
        <v>3500</v>
      </c>
      <c r="F874" s="195">
        <v>3485.5</v>
      </c>
      <c r="G874" s="195">
        <v>3100</v>
      </c>
      <c r="H874" s="195">
        <v>1915.13</v>
      </c>
      <c r="I874" s="195">
        <v>2133</v>
      </c>
    </row>
    <row r="875" spans="1:9" x14ac:dyDescent="0.2">
      <c r="A875" s="193">
        <v>1761001731</v>
      </c>
      <c r="B875" s="193" t="s">
        <v>151</v>
      </c>
    </row>
    <row r="876" spans="1:9" x14ac:dyDescent="0.2">
      <c r="A876" s="193">
        <v>1761100430</v>
      </c>
      <c r="B876" s="193" t="s">
        <v>789</v>
      </c>
      <c r="H876" s="195">
        <v>399.07</v>
      </c>
      <c r="I876" s="195">
        <v>672.38</v>
      </c>
    </row>
    <row r="877" spans="1:9" x14ac:dyDescent="0.2">
      <c r="A877" s="193">
        <v>1764000110</v>
      </c>
      <c r="B877" s="193" t="s">
        <v>523</v>
      </c>
      <c r="C877" s="195">
        <v>72426</v>
      </c>
      <c r="D877" s="195">
        <v>62033.79</v>
      </c>
      <c r="E877" s="195">
        <v>72426</v>
      </c>
      <c r="F877" s="195">
        <v>74481.039999999994</v>
      </c>
      <c r="G877" s="195">
        <v>134956.49</v>
      </c>
      <c r="H877" s="195">
        <v>360210.48</v>
      </c>
      <c r="I877" s="195">
        <v>549627.82999999996</v>
      </c>
    </row>
    <row r="878" spans="1:9" x14ac:dyDescent="0.2">
      <c r="A878" s="193">
        <v>1764000210</v>
      </c>
      <c r="B878" s="193" t="s">
        <v>919</v>
      </c>
    </row>
    <row r="879" spans="1:9" x14ac:dyDescent="0.2">
      <c r="A879" s="193">
        <v>1764000511</v>
      </c>
      <c r="B879" s="193" t="s">
        <v>790</v>
      </c>
      <c r="H879" s="195">
        <v>8545.1200000000008</v>
      </c>
    </row>
    <row r="880" spans="1:9" x14ac:dyDescent="0.2">
      <c r="A880" s="193">
        <v>1764000560</v>
      </c>
      <c r="B880" s="193" t="s">
        <v>664</v>
      </c>
      <c r="H880" s="195">
        <v>1780.33</v>
      </c>
    </row>
    <row r="881" spans="1:9" x14ac:dyDescent="0.2">
      <c r="A881" s="193">
        <v>1764000731</v>
      </c>
      <c r="B881" s="193" t="s">
        <v>122</v>
      </c>
      <c r="F881" s="195">
        <v>66.08</v>
      </c>
      <c r="G881" s="195">
        <v>31485.54</v>
      </c>
      <c r="H881" s="195">
        <v>29966.86</v>
      </c>
      <c r="I881" s="195">
        <v>28486.66</v>
      </c>
    </row>
    <row r="882" spans="1:9" x14ac:dyDescent="0.2">
      <c r="A882" s="193">
        <v>1764000760</v>
      </c>
      <c r="B882" s="193" t="s">
        <v>552</v>
      </c>
    </row>
    <row r="883" spans="1:9" x14ac:dyDescent="0.2">
      <c r="A883" s="193">
        <v>1764000780</v>
      </c>
      <c r="B883" s="193" t="s">
        <v>580</v>
      </c>
      <c r="H883" s="195">
        <v>5400</v>
      </c>
    </row>
    <row r="884" spans="1:9" x14ac:dyDescent="0.2">
      <c r="A884" s="193">
        <v>1764000781</v>
      </c>
      <c r="B884" s="193" t="s">
        <v>792</v>
      </c>
      <c r="G884" s="195">
        <v>53187</v>
      </c>
      <c r="H884" s="195">
        <v>403958.71</v>
      </c>
      <c r="I884" s="195">
        <v>347640.52</v>
      </c>
    </row>
    <row r="885" spans="1:9" x14ac:dyDescent="0.2">
      <c r="A885" s="193">
        <v>1764000783</v>
      </c>
      <c r="B885" s="193" t="s">
        <v>1462</v>
      </c>
      <c r="C885" s="195">
        <v>100000</v>
      </c>
      <c r="E885" s="195">
        <v>150000</v>
      </c>
      <c r="I885" s="195">
        <v>2000</v>
      </c>
    </row>
    <row r="886" spans="1:9" x14ac:dyDescent="0.2">
      <c r="A886" s="193">
        <v>1764000784</v>
      </c>
      <c r="B886" s="193" t="s">
        <v>1120</v>
      </c>
    </row>
    <row r="887" spans="1:9" x14ac:dyDescent="0.2">
      <c r="A887" s="193">
        <v>1764000810</v>
      </c>
      <c r="B887" s="193" t="s">
        <v>793</v>
      </c>
    </row>
    <row r="888" spans="1:9" x14ac:dyDescent="0.2">
      <c r="A888" s="193">
        <v>1764100781</v>
      </c>
      <c r="B888" s="193" t="s">
        <v>580</v>
      </c>
    </row>
    <row r="889" spans="1:9" x14ac:dyDescent="0.2">
      <c r="A889" s="193">
        <v>1765000810</v>
      </c>
      <c r="B889" s="193" t="s">
        <v>794</v>
      </c>
      <c r="E889" s="195">
        <v>24000</v>
      </c>
      <c r="H889" s="195">
        <v>15000</v>
      </c>
      <c r="I889" s="195">
        <v>24000</v>
      </c>
    </row>
    <row r="890" spans="1:9" x14ac:dyDescent="0.2">
      <c r="A890" s="193">
        <v>1765000811</v>
      </c>
      <c r="B890" s="193" t="s">
        <v>795</v>
      </c>
      <c r="E890" s="195">
        <v>15000</v>
      </c>
      <c r="H890" s="195">
        <v>15299.12</v>
      </c>
      <c r="I890" s="195">
        <v>10256</v>
      </c>
    </row>
    <row r="891" spans="1:9" x14ac:dyDescent="0.2">
      <c r="A891" s="193">
        <v>1765100810</v>
      </c>
      <c r="B891" s="193" t="s">
        <v>796</v>
      </c>
      <c r="C891" s="195">
        <v>120000</v>
      </c>
      <c r="D891" s="195">
        <v>122800</v>
      </c>
      <c r="E891" s="195">
        <v>120000</v>
      </c>
      <c r="F891" s="195">
        <v>120000</v>
      </c>
      <c r="G891" s="195">
        <v>120000</v>
      </c>
      <c r="H891" s="195">
        <v>118900</v>
      </c>
      <c r="I891" s="195">
        <v>110000</v>
      </c>
    </row>
    <row r="892" spans="1:9" x14ac:dyDescent="0.2">
      <c r="A892" s="193">
        <v>1766000810</v>
      </c>
      <c r="B892" s="193" t="s">
        <v>797</v>
      </c>
      <c r="C892" s="195">
        <v>540000</v>
      </c>
      <c r="D892" s="195">
        <v>281639</v>
      </c>
      <c r="E892" s="195">
        <v>540000</v>
      </c>
      <c r="F892" s="195">
        <v>540000</v>
      </c>
      <c r="G892" s="195">
        <v>540000</v>
      </c>
      <c r="H892" s="195">
        <v>580000</v>
      </c>
      <c r="I892" s="195">
        <v>400000</v>
      </c>
    </row>
    <row r="893" spans="1:9" x14ac:dyDescent="0.2">
      <c r="A893" s="193">
        <v>1767000440</v>
      </c>
      <c r="B893" s="193" t="s">
        <v>558</v>
      </c>
      <c r="C893" s="195">
        <v>1250000</v>
      </c>
      <c r="D893" s="195">
        <v>1171068</v>
      </c>
      <c r="E893" s="195">
        <v>1250000</v>
      </c>
      <c r="F893" s="195">
        <v>1332876.3899999999</v>
      </c>
      <c r="G893" s="195">
        <v>1856247.14</v>
      </c>
      <c r="H893" s="195">
        <v>1905927.06</v>
      </c>
      <c r="I893" s="195">
        <v>920723.7</v>
      </c>
    </row>
    <row r="894" spans="1:9" x14ac:dyDescent="0.2">
      <c r="A894" s="193">
        <v>1767000584</v>
      </c>
      <c r="B894" s="193" t="s">
        <v>798</v>
      </c>
      <c r="I894" s="195">
        <v>8700</v>
      </c>
    </row>
    <row r="895" spans="1:9" x14ac:dyDescent="0.2">
      <c r="A895" s="193">
        <v>1767000810</v>
      </c>
      <c r="B895" s="193" t="s">
        <v>132</v>
      </c>
      <c r="F895" s="195">
        <v>2737000</v>
      </c>
    </row>
    <row r="896" spans="1:9" x14ac:dyDescent="0.2">
      <c r="A896" s="193">
        <v>1769000550</v>
      </c>
      <c r="B896" s="193" t="s">
        <v>799</v>
      </c>
      <c r="C896" s="195">
        <v>2000</v>
      </c>
      <c r="E896" s="195">
        <v>2000</v>
      </c>
    </row>
    <row r="897" spans="1:9" x14ac:dyDescent="0.2">
      <c r="A897" s="193">
        <v>1769000780</v>
      </c>
      <c r="B897" s="193" t="s">
        <v>800</v>
      </c>
      <c r="C897" s="195">
        <v>65000</v>
      </c>
      <c r="D897" s="195">
        <v>56944.99</v>
      </c>
      <c r="E897" s="195">
        <v>65000</v>
      </c>
      <c r="F897" s="195">
        <v>30725.02</v>
      </c>
      <c r="G897" s="195">
        <v>104200.01</v>
      </c>
      <c r="H897" s="195">
        <v>75346</v>
      </c>
    </row>
    <row r="898" spans="1:9" x14ac:dyDescent="0.2">
      <c r="A898" s="193">
        <v>1769000781</v>
      </c>
      <c r="B898" s="193" t="s">
        <v>265</v>
      </c>
      <c r="C898" s="195">
        <v>24000</v>
      </c>
      <c r="D898" s="195">
        <v>17500</v>
      </c>
      <c r="E898" s="195">
        <v>24000</v>
      </c>
      <c r="F898" s="195">
        <v>25570</v>
      </c>
    </row>
    <row r="899" spans="1:9" x14ac:dyDescent="0.2">
      <c r="A899" s="193">
        <v>1769000785</v>
      </c>
      <c r="B899" s="193" t="s">
        <v>801</v>
      </c>
      <c r="F899" s="195">
        <v>100000</v>
      </c>
      <c r="G899" s="195">
        <v>162000</v>
      </c>
      <c r="H899" s="195">
        <v>124000</v>
      </c>
    </row>
    <row r="900" spans="1:9" x14ac:dyDescent="0.2">
      <c r="A900" s="193">
        <v>1772000110</v>
      </c>
      <c r="B900" s="193" t="s">
        <v>919</v>
      </c>
    </row>
    <row r="901" spans="1:9" x14ac:dyDescent="0.2">
      <c r="A901" s="193">
        <v>1772000511</v>
      </c>
      <c r="B901" s="193" t="s">
        <v>802</v>
      </c>
      <c r="H901" s="195">
        <v>1500</v>
      </c>
      <c r="I901" s="195">
        <v>754.69</v>
      </c>
    </row>
    <row r="902" spans="1:9" x14ac:dyDescent="0.2">
      <c r="A902" s="193">
        <v>1772000550</v>
      </c>
      <c r="B902" s="193" t="s">
        <v>1242</v>
      </c>
      <c r="C902" s="195">
        <v>273000</v>
      </c>
      <c r="D902" s="195">
        <v>10352</v>
      </c>
      <c r="E902" s="195">
        <v>273000</v>
      </c>
      <c r="F902" s="195">
        <v>545865.65</v>
      </c>
      <c r="G902" s="195">
        <v>616048.80000000005</v>
      </c>
      <c r="H902" s="195">
        <v>521222.37</v>
      </c>
      <c r="I902" s="195">
        <v>529624.23</v>
      </c>
    </row>
    <row r="903" spans="1:9" x14ac:dyDescent="0.2">
      <c r="A903" s="193">
        <v>1772000561</v>
      </c>
      <c r="B903" s="193" t="s">
        <v>664</v>
      </c>
      <c r="C903" s="195">
        <v>2000</v>
      </c>
      <c r="D903" s="195">
        <v>1002.8</v>
      </c>
      <c r="E903" s="195">
        <v>2000</v>
      </c>
      <c r="F903" s="195">
        <v>2230.42</v>
      </c>
      <c r="G903" s="195">
        <v>1587.43</v>
      </c>
      <c r="H903" s="195">
        <v>1808.64</v>
      </c>
      <c r="I903" s="195">
        <v>2369.14</v>
      </c>
    </row>
    <row r="904" spans="1:9" x14ac:dyDescent="0.2">
      <c r="A904" s="193">
        <v>1772000731</v>
      </c>
      <c r="B904" s="193" t="s">
        <v>803</v>
      </c>
      <c r="F904" s="195">
        <v>38738.53</v>
      </c>
      <c r="G904" s="195">
        <v>71949.429999999993</v>
      </c>
      <c r="H904" s="195">
        <v>59955.12</v>
      </c>
    </row>
    <row r="905" spans="1:9" x14ac:dyDescent="0.2">
      <c r="A905" s="193">
        <v>1772000750</v>
      </c>
      <c r="B905" s="193" t="s">
        <v>714</v>
      </c>
      <c r="C905" s="195">
        <v>110000</v>
      </c>
      <c r="D905" s="195">
        <v>38936.99</v>
      </c>
      <c r="E905" s="195">
        <v>110000</v>
      </c>
      <c r="F905" s="195">
        <v>105785.86</v>
      </c>
      <c r="G905" s="195">
        <v>109051.96</v>
      </c>
      <c r="H905" s="195">
        <v>125602.39</v>
      </c>
      <c r="I905" s="195">
        <v>128261.67</v>
      </c>
    </row>
    <row r="906" spans="1:9" x14ac:dyDescent="0.2">
      <c r="A906" s="193">
        <v>1772000760</v>
      </c>
      <c r="B906" s="193" t="s">
        <v>552</v>
      </c>
      <c r="I906" s="195">
        <v>3000</v>
      </c>
    </row>
    <row r="907" spans="1:9" x14ac:dyDescent="0.2">
      <c r="A907" s="193">
        <v>1772000780</v>
      </c>
      <c r="B907" s="193" t="s">
        <v>580</v>
      </c>
      <c r="C907" s="195">
        <v>12500</v>
      </c>
      <c r="D907" s="195">
        <v>8901.6200000000008</v>
      </c>
      <c r="E907" s="195">
        <v>12500</v>
      </c>
      <c r="F907" s="195">
        <v>32391.37</v>
      </c>
      <c r="G907" s="195">
        <v>10755</v>
      </c>
      <c r="H907" s="195">
        <v>985.34</v>
      </c>
      <c r="I907" s="195">
        <v>5225.8</v>
      </c>
    </row>
    <row r="908" spans="1:9" x14ac:dyDescent="0.2">
      <c r="A908" s="193">
        <v>1772000810</v>
      </c>
      <c r="B908" s="193" t="s">
        <v>152</v>
      </c>
    </row>
    <row r="909" spans="1:9" x14ac:dyDescent="0.2">
      <c r="A909" s="193">
        <v>1772000910</v>
      </c>
      <c r="B909" s="193" t="s">
        <v>804</v>
      </c>
      <c r="H909" s="195">
        <v>1185</v>
      </c>
    </row>
    <row r="910" spans="1:9" x14ac:dyDescent="0.2">
      <c r="A910" s="193">
        <v>1780000399</v>
      </c>
      <c r="B910" s="193" t="s">
        <v>24</v>
      </c>
    </row>
    <row r="911" spans="1:9" x14ac:dyDescent="0.2">
      <c r="A911" s="193">
        <v>1780000981</v>
      </c>
      <c r="B911" s="193" t="s">
        <v>74</v>
      </c>
    </row>
    <row r="912" spans="1:9" x14ac:dyDescent="0.2">
      <c r="A912" s="193">
        <v>1781000110</v>
      </c>
      <c r="B912" s="193" t="s">
        <v>523</v>
      </c>
      <c r="C912" s="195">
        <v>1902366</v>
      </c>
      <c r="D912" s="195">
        <v>1402014.75</v>
      </c>
      <c r="E912" s="195">
        <v>1902366</v>
      </c>
      <c r="F912" s="195">
        <v>2013747.29</v>
      </c>
      <c r="G912" s="195">
        <v>2050518.82</v>
      </c>
      <c r="H912" s="195">
        <v>1727107.54</v>
      </c>
      <c r="I912" s="195">
        <v>1304130.21</v>
      </c>
    </row>
    <row r="913" spans="1:9" x14ac:dyDescent="0.2">
      <c r="A913" s="193">
        <v>1781000210</v>
      </c>
      <c r="B913" s="193" t="s">
        <v>533</v>
      </c>
      <c r="C913" s="195">
        <v>127004</v>
      </c>
      <c r="D913" s="195">
        <v>99883.24</v>
      </c>
      <c r="E913" s="195">
        <v>127004</v>
      </c>
      <c r="F913" s="195">
        <v>324968.96000000002</v>
      </c>
      <c r="G913" s="195">
        <v>261741.01</v>
      </c>
      <c r="H913" s="195">
        <v>249950.28</v>
      </c>
      <c r="I913" s="195">
        <v>382947.13</v>
      </c>
    </row>
    <row r="914" spans="1:9" x14ac:dyDescent="0.2">
      <c r="A914" s="193">
        <v>1781000422</v>
      </c>
      <c r="B914" s="193" t="s">
        <v>805</v>
      </c>
    </row>
    <row r="915" spans="1:9" x14ac:dyDescent="0.2">
      <c r="A915" s="193">
        <v>1781000440</v>
      </c>
      <c r="B915" s="193" t="s">
        <v>558</v>
      </c>
      <c r="C915" s="195">
        <v>8800</v>
      </c>
      <c r="E915" s="195">
        <v>8800</v>
      </c>
      <c r="F915" s="195">
        <v>-333.34</v>
      </c>
      <c r="G915" s="195">
        <v>2502.5</v>
      </c>
      <c r="H915" s="195">
        <v>4400</v>
      </c>
      <c r="I915" s="195">
        <v>5052.07</v>
      </c>
    </row>
    <row r="916" spans="1:9" x14ac:dyDescent="0.2">
      <c r="A916" s="193">
        <v>1781000511</v>
      </c>
      <c r="B916" s="193" t="s">
        <v>153</v>
      </c>
    </row>
    <row r="917" spans="1:9" x14ac:dyDescent="0.2">
      <c r="A917" s="193">
        <v>1781000521</v>
      </c>
      <c r="B917" s="193" t="s">
        <v>806</v>
      </c>
      <c r="F917" s="195">
        <v>1000</v>
      </c>
      <c r="G917" s="195">
        <v>9223.1299999999992</v>
      </c>
      <c r="I917" s="195">
        <v>2000</v>
      </c>
    </row>
    <row r="918" spans="1:9" x14ac:dyDescent="0.2">
      <c r="A918" s="193">
        <v>1781000560</v>
      </c>
      <c r="B918" s="193" t="s">
        <v>807</v>
      </c>
      <c r="C918" s="195">
        <v>5000</v>
      </c>
      <c r="D918" s="195">
        <v>4621.21</v>
      </c>
      <c r="E918" s="195">
        <v>5000</v>
      </c>
      <c r="F918" s="195">
        <v>7460.98</v>
      </c>
      <c r="G918" s="195">
        <v>5784.76</v>
      </c>
      <c r="H918" s="195">
        <v>4867.74</v>
      </c>
      <c r="I918" s="195">
        <v>3879.68</v>
      </c>
    </row>
    <row r="919" spans="1:9" x14ac:dyDescent="0.2">
      <c r="A919" s="193">
        <v>1781000570</v>
      </c>
      <c r="B919" s="193" t="s">
        <v>808</v>
      </c>
      <c r="C919" s="195">
        <v>50000</v>
      </c>
      <c r="D919" s="195">
        <v>36800.18</v>
      </c>
      <c r="E919" s="195">
        <v>32000</v>
      </c>
      <c r="F919" s="195">
        <v>33944.769999999997</v>
      </c>
      <c r="G919" s="195">
        <v>57054.52</v>
      </c>
      <c r="H919" s="195">
        <v>60811.360000000001</v>
      </c>
      <c r="I919" s="195">
        <v>44215.53</v>
      </c>
    </row>
    <row r="920" spans="1:9" x14ac:dyDescent="0.2">
      <c r="A920" s="193">
        <v>1781000580</v>
      </c>
      <c r="B920" s="193" t="s">
        <v>154</v>
      </c>
    </row>
    <row r="921" spans="1:9" x14ac:dyDescent="0.2">
      <c r="A921" s="193">
        <v>1781000750</v>
      </c>
      <c r="B921" s="193" t="s">
        <v>714</v>
      </c>
      <c r="C921" s="195">
        <v>42000</v>
      </c>
      <c r="D921" s="195">
        <v>28831.98</v>
      </c>
      <c r="E921" s="195">
        <v>42000</v>
      </c>
      <c r="F921" s="195">
        <v>31322.69</v>
      </c>
      <c r="G921" s="195">
        <v>118927</v>
      </c>
      <c r="H921" s="195">
        <v>77629.75</v>
      </c>
      <c r="I921" s="195">
        <v>67618.240000000005</v>
      </c>
    </row>
    <row r="922" spans="1:9" x14ac:dyDescent="0.2">
      <c r="A922" s="193">
        <v>1781000751</v>
      </c>
      <c r="B922" s="193" t="s">
        <v>691</v>
      </c>
    </row>
    <row r="923" spans="1:9" x14ac:dyDescent="0.2">
      <c r="A923" s="193">
        <v>1781000752</v>
      </c>
      <c r="B923" s="193" t="s">
        <v>259</v>
      </c>
      <c r="C923" s="195">
        <v>105000</v>
      </c>
      <c r="D923" s="195">
        <v>22382.639999999999</v>
      </c>
      <c r="E923" s="195">
        <v>120000</v>
      </c>
      <c r="F923" s="195">
        <v>89283.43</v>
      </c>
    </row>
    <row r="924" spans="1:9" x14ac:dyDescent="0.2">
      <c r="A924" s="193">
        <v>1781000780</v>
      </c>
      <c r="B924" s="193" t="s">
        <v>580</v>
      </c>
    </row>
    <row r="925" spans="1:9" x14ac:dyDescent="0.2">
      <c r="A925" s="193">
        <v>1781000910</v>
      </c>
      <c r="B925" s="193" t="s">
        <v>809</v>
      </c>
      <c r="H925" s="195">
        <v>1185</v>
      </c>
    </row>
    <row r="926" spans="1:9" x14ac:dyDescent="0.2">
      <c r="A926" s="193">
        <v>1781000930</v>
      </c>
      <c r="B926" s="193" t="s">
        <v>961</v>
      </c>
    </row>
    <row r="927" spans="1:9" x14ac:dyDescent="0.2">
      <c r="A927" s="193">
        <v>1781000980</v>
      </c>
      <c r="B927" s="193" t="s">
        <v>580</v>
      </c>
    </row>
    <row r="928" spans="1:9" x14ac:dyDescent="0.2">
      <c r="A928" s="193">
        <v>1781001110</v>
      </c>
      <c r="B928" s="193" t="s">
        <v>155</v>
      </c>
    </row>
    <row r="929" spans="1:9" x14ac:dyDescent="0.2">
      <c r="A929" s="193">
        <v>1781001731</v>
      </c>
      <c r="B929" s="193" t="s">
        <v>156</v>
      </c>
    </row>
    <row r="930" spans="1:9" x14ac:dyDescent="0.2">
      <c r="A930" s="193">
        <v>1781002731</v>
      </c>
      <c r="B930" s="193" t="s">
        <v>262</v>
      </c>
      <c r="F930" s="195">
        <v>1411</v>
      </c>
      <c r="G930" s="195">
        <v>33216.19</v>
      </c>
      <c r="H930" s="195">
        <v>43933.75</v>
      </c>
      <c r="I930" s="195">
        <v>54926.25</v>
      </c>
    </row>
    <row r="931" spans="1:9" x14ac:dyDescent="0.2">
      <c r="A931" s="193">
        <v>1781003731</v>
      </c>
      <c r="B931" s="193" t="s">
        <v>811</v>
      </c>
      <c r="C931" s="195">
        <v>1200</v>
      </c>
      <c r="D931" s="195">
        <v>956</v>
      </c>
      <c r="E931" s="195">
        <v>1000</v>
      </c>
      <c r="F931" s="195">
        <v>1078</v>
      </c>
      <c r="G931" s="195">
        <v>1144</v>
      </c>
      <c r="H931" s="195">
        <v>830</v>
      </c>
    </row>
    <row r="932" spans="1:9" x14ac:dyDescent="0.2">
      <c r="A932" s="193">
        <v>1781004731</v>
      </c>
      <c r="B932" s="193" t="s">
        <v>123</v>
      </c>
      <c r="C932" s="195">
        <v>1100</v>
      </c>
      <c r="D932" s="195">
        <v>833</v>
      </c>
      <c r="E932" s="195">
        <v>2000</v>
      </c>
      <c r="F932" s="195">
        <v>1146</v>
      </c>
      <c r="G932" s="195">
        <v>2061.77</v>
      </c>
    </row>
    <row r="933" spans="1:9" x14ac:dyDescent="0.2">
      <c r="A933" s="193">
        <v>1781005731</v>
      </c>
      <c r="B933" s="193" t="s">
        <v>124</v>
      </c>
      <c r="C933" s="195">
        <v>1500</v>
      </c>
      <c r="D933" s="195">
        <v>1187</v>
      </c>
      <c r="E933" s="195">
        <v>1000</v>
      </c>
      <c r="F933" s="195">
        <v>1203</v>
      </c>
    </row>
    <row r="934" spans="1:9" x14ac:dyDescent="0.2">
      <c r="A934" s="193">
        <v>1781006731</v>
      </c>
      <c r="B934" s="193" t="s">
        <v>79</v>
      </c>
      <c r="C934" s="195">
        <v>1045</v>
      </c>
      <c r="D934" s="195">
        <v>1045</v>
      </c>
      <c r="F934" s="195">
        <v>996</v>
      </c>
    </row>
    <row r="935" spans="1:9" x14ac:dyDescent="0.2">
      <c r="A935" s="193">
        <v>1781100110</v>
      </c>
      <c r="B935" s="193" t="s">
        <v>534</v>
      </c>
      <c r="C935" s="195">
        <v>1179222</v>
      </c>
      <c r="D935" s="195">
        <v>897896.49</v>
      </c>
      <c r="E935" s="195">
        <v>1179222</v>
      </c>
      <c r="F935" s="195">
        <v>867918.97</v>
      </c>
      <c r="G935" s="195">
        <v>835106.49</v>
      </c>
      <c r="H935" s="195">
        <v>836788.06</v>
      </c>
      <c r="I935" s="195">
        <v>801813.76</v>
      </c>
    </row>
    <row r="936" spans="1:9" x14ac:dyDescent="0.2">
      <c r="A936" s="193">
        <v>1781100442</v>
      </c>
      <c r="B936" s="193" t="s">
        <v>812</v>
      </c>
      <c r="C936" s="195">
        <v>3000</v>
      </c>
      <c r="E936" s="195">
        <v>3000</v>
      </c>
      <c r="F936" s="195">
        <v>2850</v>
      </c>
      <c r="G936" s="195">
        <v>1829</v>
      </c>
    </row>
    <row r="937" spans="1:9" x14ac:dyDescent="0.2">
      <c r="A937" s="193">
        <v>1781100511</v>
      </c>
      <c r="B937" s="193" t="s">
        <v>813</v>
      </c>
      <c r="C937" s="195">
        <v>2500</v>
      </c>
      <c r="E937" s="195">
        <v>2500</v>
      </c>
      <c r="F937" s="195">
        <v>1763</v>
      </c>
      <c r="I937" s="195">
        <v>840</v>
      </c>
    </row>
    <row r="938" spans="1:9" x14ac:dyDescent="0.2">
      <c r="A938" s="193">
        <v>1781100521</v>
      </c>
      <c r="B938" s="193" t="s">
        <v>646</v>
      </c>
      <c r="C938" s="195">
        <v>31000</v>
      </c>
      <c r="D938" s="195">
        <v>1416</v>
      </c>
      <c r="E938" s="195">
        <v>31000</v>
      </c>
      <c r="F938" s="195">
        <v>17100</v>
      </c>
      <c r="G938" s="195">
        <v>29325</v>
      </c>
      <c r="H938" s="195">
        <v>9499</v>
      </c>
      <c r="I938" s="195">
        <v>22265.99</v>
      </c>
    </row>
    <row r="939" spans="1:9" x14ac:dyDescent="0.2">
      <c r="A939" s="193">
        <v>1781100540</v>
      </c>
      <c r="B939" s="193" t="s">
        <v>629</v>
      </c>
      <c r="I939" s="195">
        <v>23400</v>
      </c>
    </row>
    <row r="940" spans="1:9" x14ac:dyDescent="0.2">
      <c r="A940" s="193">
        <v>1781100570</v>
      </c>
      <c r="B940" s="193" t="s">
        <v>814</v>
      </c>
    </row>
    <row r="941" spans="1:9" x14ac:dyDescent="0.2">
      <c r="A941" s="193">
        <v>1781100743</v>
      </c>
      <c r="B941" s="193" t="s">
        <v>815</v>
      </c>
      <c r="C941" s="195">
        <v>40000</v>
      </c>
      <c r="D941" s="195">
        <v>39999.360000000001</v>
      </c>
      <c r="E941" s="195">
        <v>40000</v>
      </c>
      <c r="F941" s="195">
        <v>37540</v>
      </c>
      <c r="G941" s="195">
        <v>36477.199999999997</v>
      </c>
      <c r="H941" s="195">
        <v>30932</v>
      </c>
      <c r="I941" s="195">
        <v>30000</v>
      </c>
    </row>
    <row r="942" spans="1:9" x14ac:dyDescent="0.2">
      <c r="A942" s="193">
        <v>1781100750</v>
      </c>
      <c r="B942" s="193" t="s">
        <v>816</v>
      </c>
      <c r="C942" s="195">
        <v>600000</v>
      </c>
      <c r="D942" s="195">
        <v>292186</v>
      </c>
      <c r="E942" s="195">
        <v>521093</v>
      </c>
      <c r="F942" s="195">
        <v>533848.09</v>
      </c>
      <c r="G942" s="195">
        <v>499202.24</v>
      </c>
      <c r="H942" s="195">
        <v>446441.97</v>
      </c>
      <c r="I942" s="195">
        <v>480837.2</v>
      </c>
    </row>
    <row r="943" spans="1:9" x14ac:dyDescent="0.2">
      <c r="A943" s="193">
        <v>1781100751</v>
      </c>
      <c r="B943" s="193" t="s">
        <v>1496</v>
      </c>
      <c r="C943" s="195">
        <v>14000</v>
      </c>
      <c r="D943" s="195">
        <v>1334.1</v>
      </c>
    </row>
    <row r="944" spans="1:9" x14ac:dyDescent="0.2">
      <c r="A944" s="193">
        <v>1781100780</v>
      </c>
      <c r="B944" s="193" t="s">
        <v>580</v>
      </c>
      <c r="C944" s="195">
        <v>90000</v>
      </c>
      <c r="D944" s="195">
        <v>32149.1</v>
      </c>
      <c r="E944" s="195">
        <v>90000</v>
      </c>
      <c r="F944" s="195">
        <v>65770.960000000006</v>
      </c>
      <c r="G944" s="195">
        <v>69536.429999999993</v>
      </c>
      <c r="H944" s="195">
        <v>27776.84</v>
      </c>
      <c r="I944" s="195">
        <v>57778.63</v>
      </c>
    </row>
    <row r="945" spans="1:9" x14ac:dyDescent="0.2">
      <c r="A945" s="193">
        <v>1781100930</v>
      </c>
      <c r="B945" s="193" t="s">
        <v>739</v>
      </c>
      <c r="C945" s="195">
        <v>3000</v>
      </c>
      <c r="D945" s="195">
        <v>608.79</v>
      </c>
      <c r="E945" s="195">
        <v>3000</v>
      </c>
      <c r="F945" s="195">
        <v>2897.24</v>
      </c>
      <c r="G945" s="195">
        <v>2665.2</v>
      </c>
      <c r="H945" s="195">
        <v>14778</v>
      </c>
      <c r="I945" s="195">
        <v>3730.81</v>
      </c>
    </row>
    <row r="946" spans="1:9" x14ac:dyDescent="0.2">
      <c r="A946" s="193">
        <v>1781365731</v>
      </c>
      <c r="B946" s="193" t="s">
        <v>1495</v>
      </c>
      <c r="D946" s="195">
        <v>330</v>
      </c>
      <c r="F946" s="195">
        <v>1817</v>
      </c>
      <c r="G946" s="195">
        <v>52877.39</v>
      </c>
      <c r="H946" s="195">
        <v>39028.769999999997</v>
      </c>
      <c r="I946" s="195">
        <v>36310.46</v>
      </c>
    </row>
    <row r="947" spans="1:9" x14ac:dyDescent="0.2">
      <c r="A947" s="193">
        <v>1781375731</v>
      </c>
      <c r="B947" s="193" t="s">
        <v>80</v>
      </c>
      <c r="C947" s="195">
        <v>14000</v>
      </c>
      <c r="D947" s="195">
        <v>2783.78</v>
      </c>
      <c r="E947" s="195">
        <v>14000</v>
      </c>
      <c r="F947" s="195">
        <v>13027.03</v>
      </c>
    </row>
    <row r="948" spans="1:9" x14ac:dyDescent="0.2">
      <c r="A948" s="193">
        <v>1781385731</v>
      </c>
      <c r="B948" s="193" t="s">
        <v>81</v>
      </c>
      <c r="C948" s="195">
        <v>14000</v>
      </c>
      <c r="D948" s="195">
        <v>2474.59</v>
      </c>
      <c r="E948" s="195">
        <v>14000</v>
      </c>
      <c r="F948" s="195">
        <v>13469.93</v>
      </c>
    </row>
    <row r="949" spans="1:9" x14ac:dyDescent="0.2">
      <c r="A949" s="193">
        <v>1810000399</v>
      </c>
      <c r="B949" s="193" t="s">
        <v>24</v>
      </c>
    </row>
    <row r="950" spans="1:9" x14ac:dyDescent="0.2">
      <c r="A950" s="193">
        <v>1810000981</v>
      </c>
      <c r="B950" s="193" t="s">
        <v>74</v>
      </c>
      <c r="F950" s="195">
        <v>749.25</v>
      </c>
    </row>
    <row r="951" spans="1:9" x14ac:dyDescent="0.2">
      <c r="A951" s="193">
        <v>1811000110</v>
      </c>
      <c r="B951" s="193" t="s">
        <v>523</v>
      </c>
      <c r="C951" s="195">
        <v>2651178</v>
      </c>
      <c r="D951" s="195">
        <v>2063676.93</v>
      </c>
      <c r="E951" s="195">
        <v>2651178</v>
      </c>
      <c r="F951" s="195">
        <v>2434529.2200000002</v>
      </c>
      <c r="G951" s="195">
        <v>2015218.11</v>
      </c>
      <c r="H951" s="195">
        <v>1915129.26</v>
      </c>
      <c r="I951" s="195">
        <v>1664277.37</v>
      </c>
    </row>
    <row r="952" spans="1:9" x14ac:dyDescent="0.2">
      <c r="A952" s="193">
        <v>1811000399</v>
      </c>
      <c r="B952" s="193" t="s">
        <v>157</v>
      </c>
    </row>
    <row r="953" spans="1:9" x14ac:dyDescent="0.2">
      <c r="A953" s="193">
        <v>1811000422</v>
      </c>
      <c r="B953" s="193" t="s">
        <v>818</v>
      </c>
      <c r="C953" s="195">
        <v>5000</v>
      </c>
      <c r="D953" s="195">
        <v>667</v>
      </c>
      <c r="E953" s="195">
        <v>5000</v>
      </c>
      <c r="F953" s="195">
        <v>4900</v>
      </c>
      <c r="G953" s="195">
        <v>5850</v>
      </c>
      <c r="H953" s="195">
        <v>4800</v>
      </c>
      <c r="I953" s="195">
        <v>5100.0200000000004</v>
      </c>
    </row>
    <row r="954" spans="1:9" x14ac:dyDescent="0.2">
      <c r="A954" s="193">
        <v>1811000440</v>
      </c>
      <c r="B954" s="193" t="s">
        <v>558</v>
      </c>
      <c r="C954" s="195">
        <v>700000</v>
      </c>
      <c r="D954" s="195">
        <v>601938.18000000005</v>
      </c>
      <c r="E954" s="195">
        <v>800000</v>
      </c>
      <c r="F954" s="195">
        <v>790235.25</v>
      </c>
      <c r="G954" s="195">
        <v>532045.18000000005</v>
      </c>
      <c r="H954" s="195">
        <v>523340</v>
      </c>
      <c r="I954" s="195">
        <v>498371.76</v>
      </c>
    </row>
    <row r="955" spans="1:9" x14ac:dyDescent="0.2">
      <c r="A955" s="193">
        <v>1811000443</v>
      </c>
      <c r="B955" s="193" t="s">
        <v>819</v>
      </c>
      <c r="I955" s="195">
        <v>5000</v>
      </c>
    </row>
    <row r="956" spans="1:9" x14ac:dyDescent="0.2">
      <c r="A956" s="193">
        <v>1811000470</v>
      </c>
      <c r="B956" s="193" t="s">
        <v>820</v>
      </c>
      <c r="C956" s="195">
        <v>12000</v>
      </c>
      <c r="D956" s="195">
        <v>4043.79</v>
      </c>
      <c r="E956" s="195">
        <v>12000</v>
      </c>
      <c r="F956" s="195">
        <v>13204.15</v>
      </c>
      <c r="G956" s="195">
        <v>7334.59</v>
      </c>
      <c r="H956" s="195">
        <v>15054.03</v>
      </c>
      <c r="I956" s="195">
        <v>12981.09</v>
      </c>
    </row>
    <row r="957" spans="1:9" x14ac:dyDescent="0.2">
      <c r="A957" s="193">
        <v>1811000511</v>
      </c>
      <c r="B957" s="193" t="s">
        <v>697</v>
      </c>
      <c r="C957" s="195">
        <v>2000</v>
      </c>
      <c r="D957" s="195">
        <v>1000</v>
      </c>
      <c r="E957" s="195">
        <v>2000</v>
      </c>
      <c r="F957" s="195">
        <v>3016.4</v>
      </c>
      <c r="G957" s="195">
        <v>2000</v>
      </c>
      <c r="H957" s="195">
        <v>2000</v>
      </c>
      <c r="I957" s="195">
        <v>2027.39</v>
      </c>
    </row>
    <row r="958" spans="1:9" x14ac:dyDescent="0.2">
      <c r="A958" s="193">
        <v>1811000512</v>
      </c>
      <c r="B958" s="193" t="s">
        <v>821</v>
      </c>
      <c r="C958" s="195">
        <v>1500</v>
      </c>
      <c r="E958" s="195">
        <v>1500</v>
      </c>
      <c r="F958" s="195">
        <v>4549.5600000000004</v>
      </c>
      <c r="G958" s="195">
        <v>1279.8599999999999</v>
      </c>
      <c r="H958" s="195">
        <v>824</v>
      </c>
      <c r="I958" s="195">
        <v>1168.3</v>
      </c>
    </row>
    <row r="959" spans="1:9" x14ac:dyDescent="0.2">
      <c r="A959" s="193">
        <v>1811000530</v>
      </c>
      <c r="B959" s="193" t="s">
        <v>125</v>
      </c>
      <c r="C959" s="195">
        <v>75000</v>
      </c>
      <c r="D959" s="195">
        <v>43031.85</v>
      </c>
      <c r="E959" s="195">
        <v>75000</v>
      </c>
      <c r="F959" s="195">
        <v>66869.42</v>
      </c>
      <c r="G959" s="195">
        <v>14500.85</v>
      </c>
    </row>
    <row r="960" spans="1:9" x14ac:dyDescent="0.2">
      <c r="A960" s="193">
        <v>1811000540</v>
      </c>
      <c r="B960" s="193" t="s">
        <v>629</v>
      </c>
      <c r="I960" s="195">
        <v>4334.68</v>
      </c>
    </row>
    <row r="961" spans="1:9" x14ac:dyDescent="0.2">
      <c r="A961" s="193">
        <v>1811000550</v>
      </c>
      <c r="B961" s="193" t="s">
        <v>822</v>
      </c>
      <c r="C961" s="195">
        <v>6000</v>
      </c>
      <c r="D961" s="195">
        <v>1425.44</v>
      </c>
      <c r="E961" s="195">
        <v>6000</v>
      </c>
      <c r="F961" s="195">
        <v>5240</v>
      </c>
      <c r="G961" s="195">
        <v>2177.2199999999998</v>
      </c>
      <c r="H961" s="195">
        <v>2499.7800000000002</v>
      </c>
      <c r="I961" s="195">
        <v>6955</v>
      </c>
    </row>
    <row r="962" spans="1:9" x14ac:dyDescent="0.2">
      <c r="A962" s="193">
        <v>1811000560</v>
      </c>
      <c r="B962" s="193" t="s">
        <v>823</v>
      </c>
      <c r="C962" s="195">
        <v>3000</v>
      </c>
      <c r="E962" s="195">
        <v>3000</v>
      </c>
      <c r="F962" s="195">
        <v>2106.8000000000002</v>
      </c>
      <c r="G962" s="195">
        <v>4185.91</v>
      </c>
      <c r="H962" s="195">
        <v>2000</v>
      </c>
      <c r="I962" s="195">
        <v>1835.73</v>
      </c>
    </row>
    <row r="963" spans="1:9" x14ac:dyDescent="0.2">
      <c r="A963" s="193">
        <v>1811000570</v>
      </c>
      <c r="B963" s="193" t="s">
        <v>824</v>
      </c>
      <c r="C963" s="195">
        <v>85000</v>
      </c>
      <c r="D963" s="195">
        <v>33207.78</v>
      </c>
      <c r="E963" s="195">
        <v>70000</v>
      </c>
      <c r="F963" s="195">
        <v>82680.679999999993</v>
      </c>
      <c r="G963" s="195">
        <v>57739.51</v>
      </c>
      <c r="H963" s="195">
        <v>84256.17</v>
      </c>
      <c r="I963" s="195">
        <v>69733.17</v>
      </c>
    </row>
    <row r="964" spans="1:9" x14ac:dyDescent="0.2">
      <c r="A964" s="193">
        <v>1811000571</v>
      </c>
      <c r="B964" s="193" t="s">
        <v>590</v>
      </c>
      <c r="C964" s="195">
        <v>8000</v>
      </c>
      <c r="D964" s="195">
        <v>3981.32</v>
      </c>
      <c r="E964" s="195">
        <v>6000</v>
      </c>
      <c r="F964" s="195">
        <v>6315.36</v>
      </c>
      <c r="I964" s="195">
        <v>5475</v>
      </c>
    </row>
    <row r="965" spans="1:9" x14ac:dyDescent="0.2">
      <c r="A965" s="193">
        <v>1811000580</v>
      </c>
      <c r="B965" s="193" t="s">
        <v>825</v>
      </c>
      <c r="C965" s="195">
        <v>15000</v>
      </c>
      <c r="D965" s="195">
        <v>14131.62</v>
      </c>
      <c r="E965" s="195">
        <v>15000</v>
      </c>
      <c r="F965" s="195">
        <v>15656.7</v>
      </c>
      <c r="G965" s="195">
        <v>17470.66</v>
      </c>
      <c r="H965" s="195">
        <v>18859.45</v>
      </c>
      <c r="I965" s="195">
        <v>8430</v>
      </c>
    </row>
    <row r="966" spans="1:9" x14ac:dyDescent="0.2">
      <c r="A966" s="193">
        <v>1811000720</v>
      </c>
      <c r="B966" s="193" t="s">
        <v>826</v>
      </c>
      <c r="F966" s="195">
        <v>1389</v>
      </c>
      <c r="G966" s="195">
        <v>455.32</v>
      </c>
      <c r="H966" s="195">
        <v>1440.83</v>
      </c>
      <c r="I966" s="195">
        <v>1672.26</v>
      </c>
    </row>
    <row r="967" spans="1:9" x14ac:dyDescent="0.2">
      <c r="A967" s="193">
        <v>1811000780</v>
      </c>
      <c r="B967" s="193" t="s">
        <v>580</v>
      </c>
      <c r="C967" s="195">
        <v>9000</v>
      </c>
      <c r="D967" s="195">
        <v>5850</v>
      </c>
      <c r="E967" s="195">
        <v>9000</v>
      </c>
      <c r="F967" s="195">
        <v>9794.2000000000007</v>
      </c>
      <c r="G967" s="195">
        <v>2357.7399999999998</v>
      </c>
      <c r="H967" s="195">
        <v>4370</v>
      </c>
      <c r="I967" s="195">
        <v>36400</v>
      </c>
    </row>
    <row r="968" spans="1:9" x14ac:dyDescent="0.2">
      <c r="A968" s="193">
        <v>1811000910</v>
      </c>
      <c r="B968" s="193" t="s">
        <v>827</v>
      </c>
      <c r="C968" s="195">
        <v>30000</v>
      </c>
      <c r="E968" s="195">
        <v>28754</v>
      </c>
      <c r="F968" s="195">
        <v>28754</v>
      </c>
      <c r="G968" s="195">
        <v>629846</v>
      </c>
      <c r="H968" s="195">
        <v>29499</v>
      </c>
    </row>
    <row r="969" spans="1:9" x14ac:dyDescent="0.2">
      <c r="A969" s="193">
        <v>1811001731</v>
      </c>
      <c r="B969" s="193" t="s">
        <v>260</v>
      </c>
      <c r="E969" s="195">
        <v>12000</v>
      </c>
      <c r="F969" s="195">
        <v>1503.79</v>
      </c>
      <c r="G969" s="195">
        <v>10483.200000000001</v>
      </c>
    </row>
    <row r="970" spans="1:9" x14ac:dyDescent="0.2">
      <c r="A970" s="193">
        <v>1811002731</v>
      </c>
      <c r="B970" s="193" t="s">
        <v>1452</v>
      </c>
      <c r="C970" s="195">
        <v>14000</v>
      </c>
      <c r="D970" s="195">
        <v>2976.31</v>
      </c>
      <c r="E970" s="195">
        <v>14000</v>
      </c>
      <c r="F970" s="195">
        <v>14492.25</v>
      </c>
    </row>
    <row r="971" spans="1:9" x14ac:dyDescent="0.2">
      <c r="A971" s="193">
        <v>1812000314</v>
      </c>
      <c r="B971" s="193" t="s">
        <v>158</v>
      </c>
    </row>
    <row r="972" spans="1:9" x14ac:dyDescent="0.2">
      <c r="A972" s="193">
        <v>1812000399</v>
      </c>
      <c r="B972" s="193" t="s">
        <v>159</v>
      </c>
    </row>
    <row r="973" spans="1:9" x14ac:dyDescent="0.2">
      <c r="A973" s="193">
        <v>1812200110</v>
      </c>
      <c r="B973" s="193" t="s">
        <v>126</v>
      </c>
      <c r="C973" s="195">
        <v>281741</v>
      </c>
      <c r="D973" s="195">
        <v>148481.76999999999</v>
      </c>
      <c r="E973" s="195">
        <v>281741</v>
      </c>
      <c r="F973" s="195">
        <v>210031.79</v>
      </c>
      <c r="G973" s="195">
        <v>201528.56</v>
      </c>
      <c r="H973" s="195">
        <v>155405.85</v>
      </c>
      <c r="I973" s="195">
        <v>42945.59</v>
      </c>
    </row>
    <row r="974" spans="1:9" x14ac:dyDescent="0.2">
      <c r="A974" s="193">
        <v>1812200210</v>
      </c>
      <c r="B974" s="193" t="s">
        <v>920</v>
      </c>
      <c r="D974" s="195">
        <v>52455.96</v>
      </c>
      <c r="F974" s="195">
        <v>69080.52</v>
      </c>
      <c r="G974" s="195">
        <v>69378.09</v>
      </c>
      <c r="H974" s="195">
        <v>82238.600000000006</v>
      </c>
      <c r="I974" s="195">
        <v>79559.55</v>
      </c>
    </row>
    <row r="975" spans="1:9" x14ac:dyDescent="0.2">
      <c r="A975" s="193">
        <v>1812200430</v>
      </c>
      <c r="B975" s="193" t="s">
        <v>956</v>
      </c>
      <c r="C975" s="195">
        <v>398864</v>
      </c>
      <c r="D975" s="195">
        <v>214868.17</v>
      </c>
      <c r="E975" s="195">
        <v>398864</v>
      </c>
      <c r="F975" s="195">
        <v>388295.98</v>
      </c>
      <c r="G975" s="195">
        <v>394813.06</v>
      </c>
      <c r="H975" s="195">
        <v>455543.35</v>
      </c>
      <c r="I975" s="195">
        <v>418812.3</v>
      </c>
    </row>
    <row r="976" spans="1:9" x14ac:dyDescent="0.2">
      <c r="A976" s="193">
        <v>1812200540</v>
      </c>
      <c r="B976" s="193" t="s">
        <v>957</v>
      </c>
      <c r="C976" s="195">
        <v>40250</v>
      </c>
      <c r="D976" s="195">
        <v>20313.650000000001</v>
      </c>
      <c r="E976" s="195">
        <v>40250</v>
      </c>
      <c r="F976" s="195">
        <v>39780.79</v>
      </c>
      <c r="G976" s="195">
        <v>37444.19</v>
      </c>
      <c r="H976" s="195">
        <v>29563.39</v>
      </c>
      <c r="I976" s="195">
        <v>26721.67</v>
      </c>
    </row>
    <row r="977" spans="1:9" x14ac:dyDescent="0.2">
      <c r="A977" s="193">
        <v>1812200550</v>
      </c>
      <c r="B977" s="193" t="s">
        <v>822</v>
      </c>
      <c r="C977" s="195">
        <v>6000</v>
      </c>
      <c r="D977" s="195">
        <v>1947</v>
      </c>
      <c r="E977" s="195">
        <v>6000</v>
      </c>
      <c r="F977" s="195">
        <v>1294</v>
      </c>
      <c r="G977" s="195">
        <v>2808</v>
      </c>
      <c r="H977" s="195">
        <v>14676.99</v>
      </c>
      <c r="I977" s="195">
        <v>4326</v>
      </c>
    </row>
    <row r="978" spans="1:9" x14ac:dyDescent="0.2">
      <c r="A978" s="193">
        <v>1812200720</v>
      </c>
      <c r="B978" s="193" t="s">
        <v>958</v>
      </c>
      <c r="C978" s="195">
        <v>100000</v>
      </c>
      <c r="D978" s="195">
        <v>87692</v>
      </c>
      <c r="E978" s="195">
        <v>100000</v>
      </c>
      <c r="F978" s="195">
        <v>114684.4</v>
      </c>
      <c r="G978" s="195">
        <v>98752.15</v>
      </c>
      <c r="H978" s="195">
        <v>92281.279999999999</v>
      </c>
      <c r="I978" s="195">
        <v>85837.21</v>
      </c>
    </row>
    <row r="979" spans="1:9" x14ac:dyDescent="0.2">
      <c r="A979" s="193">
        <v>1812200721</v>
      </c>
      <c r="B979" s="193" t="s">
        <v>959</v>
      </c>
      <c r="C979" s="195">
        <v>35000</v>
      </c>
      <c r="E979" s="195">
        <v>35000</v>
      </c>
      <c r="F979" s="195">
        <v>41350</v>
      </c>
      <c r="G979" s="195">
        <v>38463</v>
      </c>
      <c r="H979" s="195">
        <v>34910</v>
      </c>
      <c r="I979" s="195">
        <v>34998</v>
      </c>
    </row>
    <row r="980" spans="1:9" x14ac:dyDescent="0.2">
      <c r="A980" s="193">
        <v>1812200750</v>
      </c>
      <c r="B980" s="193" t="s">
        <v>956</v>
      </c>
      <c r="C980" s="195">
        <v>100000</v>
      </c>
      <c r="D980" s="195">
        <v>43908.12</v>
      </c>
      <c r="E980" s="195">
        <v>100000</v>
      </c>
      <c r="F980" s="195">
        <v>99045</v>
      </c>
      <c r="G980" s="195">
        <v>129843.53</v>
      </c>
      <c r="H980" s="195">
        <v>106576.66</v>
      </c>
      <c r="I980" s="195">
        <v>65166.2</v>
      </c>
    </row>
    <row r="981" spans="1:9" x14ac:dyDescent="0.2">
      <c r="A981" s="193">
        <v>1812200780</v>
      </c>
      <c r="B981" s="193" t="s">
        <v>580</v>
      </c>
      <c r="C981" s="195">
        <v>175000</v>
      </c>
      <c r="D981" s="195">
        <v>99480.46</v>
      </c>
      <c r="E981" s="195">
        <v>175000</v>
      </c>
      <c r="F981" s="195">
        <v>211747</v>
      </c>
      <c r="G981" s="195">
        <v>260032.11</v>
      </c>
      <c r="H981" s="195">
        <v>256220</v>
      </c>
      <c r="I981" s="195">
        <v>151715.69</v>
      </c>
    </row>
    <row r="982" spans="1:9" x14ac:dyDescent="0.2">
      <c r="A982" s="193">
        <v>1812200811</v>
      </c>
      <c r="B982" s="193" t="s">
        <v>960</v>
      </c>
      <c r="C982" s="195">
        <v>325000</v>
      </c>
      <c r="D982" s="195">
        <v>325000</v>
      </c>
      <c r="E982" s="195">
        <v>325000</v>
      </c>
      <c r="F982" s="195">
        <v>324996</v>
      </c>
      <c r="G982" s="195">
        <v>325000</v>
      </c>
      <c r="H982" s="195">
        <v>325000</v>
      </c>
      <c r="I982" s="195">
        <v>325000</v>
      </c>
    </row>
    <row r="983" spans="1:9" x14ac:dyDescent="0.2">
      <c r="A983" s="193">
        <v>1812200910</v>
      </c>
      <c r="B983" s="193" t="s">
        <v>1148</v>
      </c>
      <c r="I983" s="195">
        <v>225000</v>
      </c>
    </row>
    <row r="984" spans="1:9" x14ac:dyDescent="0.2">
      <c r="A984" s="193">
        <v>1812200930</v>
      </c>
      <c r="B984" s="193" t="s">
        <v>961</v>
      </c>
      <c r="C984" s="195">
        <v>10000</v>
      </c>
      <c r="E984" s="195">
        <v>10000</v>
      </c>
      <c r="G984" s="195">
        <v>3600</v>
      </c>
      <c r="H984" s="195">
        <v>9220</v>
      </c>
    </row>
    <row r="985" spans="1:9" x14ac:dyDescent="0.2">
      <c r="A985" s="193">
        <v>1812201560</v>
      </c>
      <c r="B985" s="193" t="s">
        <v>664</v>
      </c>
      <c r="C985" s="195">
        <v>3000</v>
      </c>
      <c r="E985" s="195">
        <v>3000</v>
      </c>
      <c r="H985" s="195">
        <v>1027.8599999999999</v>
      </c>
    </row>
    <row r="986" spans="1:9" x14ac:dyDescent="0.2">
      <c r="A986" s="193">
        <v>1812201780</v>
      </c>
      <c r="B986" s="193" t="s">
        <v>962</v>
      </c>
      <c r="C986" s="195">
        <v>35000</v>
      </c>
      <c r="D986" s="195">
        <v>21812.33</v>
      </c>
      <c r="E986" s="195">
        <v>35000</v>
      </c>
      <c r="F986" s="195">
        <v>37918.68</v>
      </c>
      <c r="G986" s="195">
        <v>18773.46</v>
      </c>
      <c r="H986" s="195">
        <v>32277.18</v>
      </c>
      <c r="I986" s="195">
        <v>10783.14</v>
      </c>
    </row>
    <row r="987" spans="1:9" x14ac:dyDescent="0.2">
      <c r="A987" s="193">
        <v>1812210110</v>
      </c>
      <c r="B987" s="193" t="s">
        <v>921</v>
      </c>
      <c r="C987" s="195">
        <v>6081708</v>
      </c>
      <c r="D987" s="195">
        <v>4380228.34</v>
      </c>
      <c r="E987" s="195">
        <v>6081708</v>
      </c>
      <c r="F987" s="195">
        <v>6060095.6699999999</v>
      </c>
      <c r="G987" s="195">
        <v>5967031.3200000003</v>
      </c>
      <c r="H987" s="195">
        <v>5923017.6299999999</v>
      </c>
      <c r="I987" s="195">
        <v>5231864.3600000003</v>
      </c>
    </row>
    <row r="988" spans="1:9" x14ac:dyDescent="0.2">
      <c r="A988" s="193">
        <v>1812210210</v>
      </c>
      <c r="B988" s="193" t="s">
        <v>922</v>
      </c>
      <c r="C988" s="195">
        <v>2571417</v>
      </c>
      <c r="D988" s="195">
        <v>2895115.63</v>
      </c>
      <c r="E988" s="195">
        <v>2571417</v>
      </c>
      <c r="F988" s="195">
        <v>3290125.66</v>
      </c>
      <c r="G988" s="195">
        <v>2356320.7400000002</v>
      </c>
      <c r="H988" s="195">
        <v>2054644.91</v>
      </c>
      <c r="I988" s="195">
        <v>1602122.51</v>
      </c>
    </row>
    <row r="989" spans="1:9" x14ac:dyDescent="0.2">
      <c r="A989" s="193">
        <v>1812210760</v>
      </c>
      <c r="B989" s="193" t="s">
        <v>963</v>
      </c>
      <c r="C989" s="195">
        <v>5970226</v>
      </c>
      <c r="D989" s="195">
        <v>4610532.29</v>
      </c>
      <c r="E989" s="195">
        <v>5970226</v>
      </c>
      <c r="F989" s="195">
        <v>6079050.6799999997</v>
      </c>
      <c r="G989" s="195">
        <v>5869481.7999999998</v>
      </c>
      <c r="H989" s="195">
        <v>5173925.3600000003</v>
      </c>
      <c r="I989" s="195">
        <v>4034350.31</v>
      </c>
    </row>
    <row r="990" spans="1:9" x14ac:dyDescent="0.2">
      <c r="A990" s="193">
        <v>1812220760</v>
      </c>
      <c r="B990" s="193" t="s">
        <v>363</v>
      </c>
      <c r="C990" s="195">
        <v>3890126</v>
      </c>
      <c r="D990" s="195">
        <v>1945063</v>
      </c>
      <c r="E990" s="195">
        <v>3890126</v>
      </c>
      <c r="F990" s="195">
        <v>3832371.75</v>
      </c>
      <c r="G990" s="195">
        <v>3738152</v>
      </c>
      <c r="H990" s="195">
        <v>3390680</v>
      </c>
      <c r="I990" s="195">
        <v>3570327</v>
      </c>
    </row>
    <row r="991" spans="1:9" x14ac:dyDescent="0.2">
      <c r="A991" s="193">
        <v>1812500210</v>
      </c>
      <c r="B991" s="193" t="s">
        <v>160</v>
      </c>
    </row>
    <row r="992" spans="1:9" x14ac:dyDescent="0.2">
      <c r="A992" s="193">
        <v>1812500780</v>
      </c>
      <c r="B992" s="193" t="s">
        <v>964</v>
      </c>
      <c r="C992" s="195">
        <v>1528405</v>
      </c>
      <c r="D992" s="195">
        <v>1084844.3899999999</v>
      </c>
      <c r="E992" s="195">
        <v>1528405</v>
      </c>
      <c r="F992" s="195">
        <v>1400379.54</v>
      </c>
      <c r="G992" s="195">
        <v>1336748.56</v>
      </c>
      <c r="H992" s="195">
        <v>1218450.68</v>
      </c>
      <c r="I992" s="195">
        <v>1262249.79</v>
      </c>
    </row>
    <row r="993" spans="1:9" x14ac:dyDescent="0.2">
      <c r="A993" s="193">
        <v>1812501780</v>
      </c>
      <c r="B993" s="193" t="s">
        <v>965</v>
      </c>
      <c r="C993" s="195">
        <v>2455476</v>
      </c>
      <c r="D993" s="195">
        <v>1382452.64</v>
      </c>
      <c r="E993" s="195">
        <v>2455476</v>
      </c>
      <c r="F993" s="195">
        <v>1996139.24</v>
      </c>
      <c r="G993" s="195">
        <v>2124948.48</v>
      </c>
      <c r="H993" s="195">
        <v>1930349.64</v>
      </c>
      <c r="I993" s="195">
        <v>2163274.3199999998</v>
      </c>
    </row>
    <row r="994" spans="1:9" x14ac:dyDescent="0.2">
      <c r="A994" s="193">
        <v>1812800210</v>
      </c>
      <c r="B994" s="193" t="s">
        <v>1157</v>
      </c>
      <c r="D994" s="195">
        <v>8261.7800000000007</v>
      </c>
      <c r="F994" s="195">
        <v>14645.4</v>
      </c>
      <c r="G994" s="195">
        <v>13554.81</v>
      </c>
      <c r="H994" s="195">
        <v>25938.09</v>
      </c>
      <c r="I994" s="195">
        <v>19270.72</v>
      </c>
    </row>
    <row r="995" spans="1:9" x14ac:dyDescent="0.2">
      <c r="A995" s="193">
        <v>1813200430</v>
      </c>
      <c r="B995" s="193" t="s">
        <v>839</v>
      </c>
      <c r="C995" s="195">
        <v>1218923</v>
      </c>
      <c r="D995" s="195">
        <v>790672.24</v>
      </c>
      <c r="E995" s="195">
        <v>1218923</v>
      </c>
      <c r="F995" s="195">
        <v>1352775</v>
      </c>
      <c r="G995" s="195">
        <v>1204957.72</v>
      </c>
      <c r="H995" s="195">
        <v>1264846.56</v>
      </c>
      <c r="I995" s="195">
        <v>1140096.81</v>
      </c>
    </row>
    <row r="996" spans="1:9" x14ac:dyDescent="0.2">
      <c r="A996" s="193">
        <v>1813200470</v>
      </c>
      <c r="B996" s="193" t="s">
        <v>966</v>
      </c>
      <c r="C996" s="195">
        <v>25000</v>
      </c>
      <c r="D996" s="195">
        <v>26029</v>
      </c>
      <c r="E996" s="195">
        <v>25000</v>
      </c>
      <c r="F996" s="195">
        <v>26237</v>
      </c>
      <c r="G996" s="195">
        <v>25952</v>
      </c>
      <c r="H996" s="195">
        <v>25117</v>
      </c>
      <c r="I996" s="195">
        <v>25168</v>
      </c>
    </row>
    <row r="997" spans="1:9" x14ac:dyDescent="0.2">
      <c r="A997" s="193">
        <v>1813200540</v>
      </c>
      <c r="B997" s="193" t="s">
        <v>967</v>
      </c>
      <c r="F997" s="195">
        <v>120845.36</v>
      </c>
      <c r="G997" s="195">
        <v>229908.42</v>
      </c>
      <c r="H997" s="195">
        <v>25604</v>
      </c>
      <c r="I997" s="195">
        <v>25567</v>
      </c>
    </row>
    <row r="998" spans="1:9" x14ac:dyDescent="0.2">
      <c r="A998" s="193">
        <v>1813200720</v>
      </c>
      <c r="B998" s="193" t="s">
        <v>689</v>
      </c>
      <c r="C998" s="195">
        <v>150000</v>
      </c>
      <c r="D998" s="195">
        <v>13219.81</v>
      </c>
      <c r="E998" s="195">
        <v>150000</v>
      </c>
      <c r="F998" s="195">
        <v>157297</v>
      </c>
      <c r="G998" s="195">
        <v>173314</v>
      </c>
      <c r="H998" s="195">
        <v>157817</v>
      </c>
      <c r="I998" s="195">
        <v>100736</v>
      </c>
    </row>
    <row r="999" spans="1:9" x14ac:dyDescent="0.2">
      <c r="A999" s="193">
        <v>1813200721</v>
      </c>
      <c r="B999" s="193" t="s">
        <v>968</v>
      </c>
      <c r="C999" s="195">
        <v>325000</v>
      </c>
      <c r="D999" s="195">
        <v>299908</v>
      </c>
      <c r="E999" s="195">
        <v>325000</v>
      </c>
      <c r="F999" s="195">
        <v>430486</v>
      </c>
      <c r="G999" s="195">
        <v>403086</v>
      </c>
      <c r="H999" s="195">
        <v>380593</v>
      </c>
      <c r="I999" s="195">
        <v>303770</v>
      </c>
    </row>
    <row r="1000" spans="1:9" x14ac:dyDescent="0.2">
      <c r="A1000" s="193">
        <v>1813200722</v>
      </c>
      <c r="B1000" s="193" t="s">
        <v>1246</v>
      </c>
    </row>
    <row r="1001" spans="1:9" x14ac:dyDescent="0.2">
      <c r="A1001" s="193">
        <v>1813200750</v>
      </c>
      <c r="B1001" s="193" t="s">
        <v>714</v>
      </c>
      <c r="C1001" s="195">
        <v>100000</v>
      </c>
      <c r="D1001" s="195">
        <v>103442.13</v>
      </c>
      <c r="E1001" s="195">
        <v>100000</v>
      </c>
      <c r="F1001" s="195">
        <v>1032782.08</v>
      </c>
      <c r="G1001" s="195">
        <v>377491.96</v>
      </c>
      <c r="H1001" s="195">
        <v>390486.14</v>
      </c>
      <c r="I1001" s="195">
        <v>397110.99</v>
      </c>
    </row>
    <row r="1002" spans="1:9" x14ac:dyDescent="0.2">
      <c r="A1002" s="193">
        <v>1813200780</v>
      </c>
      <c r="B1002" s="193" t="s">
        <v>580</v>
      </c>
      <c r="C1002" s="195">
        <v>25000</v>
      </c>
      <c r="D1002" s="195">
        <v>23966</v>
      </c>
      <c r="E1002" s="195">
        <v>25000</v>
      </c>
      <c r="F1002" s="195">
        <v>26083</v>
      </c>
      <c r="G1002" s="195">
        <v>16970</v>
      </c>
      <c r="H1002" s="195">
        <v>34886.01</v>
      </c>
      <c r="I1002" s="195">
        <v>91242.17</v>
      </c>
    </row>
    <row r="1003" spans="1:9" x14ac:dyDescent="0.2">
      <c r="A1003" s="193">
        <v>1813200910</v>
      </c>
      <c r="B1003" s="193" t="s">
        <v>738</v>
      </c>
      <c r="H1003" s="195">
        <v>140000</v>
      </c>
      <c r="I1003" s="195">
        <v>1107000</v>
      </c>
    </row>
    <row r="1004" spans="1:9" x14ac:dyDescent="0.2">
      <c r="A1004" s="193">
        <v>1813200980</v>
      </c>
      <c r="B1004" s="193" t="s">
        <v>969</v>
      </c>
      <c r="C1004" s="195">
        <v>2060952</v>
      </c>
      <c r="D1004" s="195">
        <v>810948.1</v>
      </c>
      <c r="E1004" s="195">
        <v>2060952</v>
      </c>
      <c r="F1004" s="195">
        <v>2595256.0099999998</v>
      </c>
      <c r="G1004" s="195">
        <v>1894021</v>
      </c>
      <c r="H1004" s="195">
        <v>1347555.32</v>
      </c>
    </row>
    <row r="1005" spans="1:9" x14ac:dyDescent="0.2">
      <c r="A1005" s="193">
        <v>1813200981</v>
      </c>
      <c r="B1005" s="193" t="s">
        <v>1494</v>
      </c>
      <c r="C1005" s="195">
        <v>1337000</v>
      </c>
      <c r="D1005" s="195">
        <v>868300</v>
      </c>
      <c r="E1005" s="195">
        <v>1337000</v>
      </c>
    </row>
    <row r="1006" spans="1:9" x14ac:dyDescent="0.2">
      <c r="A1006" s="193">
        <v>1813201750</v>
      </c>
      <c r="B1006" s="193" t="s">
        <v>970</v>
      </c>
      <c r="C1006" s="195">
        <v>445000</v>
      </c>
      <c r="D1006" s="195">
        <v>285982</v>
      </c>
      <c r="E1006" s="195">
        <v>445000</v>
      </c>
      <c r="F1006" s="195">
        <v>563334.67000000004</v>
      </c>
      <c r="G1006" s="195">
        <v>249981.3</v>
      </c>
      <c r="H1006" s="195">
        <v>259628</v>
      </c>
    </row>
    <row r="1007" spans="1:9" x14ac:dyDescent="0.2">
      <c r="A1007" s="193">
        <v>1813201780</v>
      </c>
      <c r="B1007" s="193" t="s">
        <v>1493</v>
      </c>
      <c r="C1007" s="195">
        <v>161074</v>
      </c>
      <c r="E1007" s="195">
        <v>161074</v>
      </c>
    </row>
    <row r="1008" spans="1:9" x14ac:dyDescent="0.2">
      <c r="A1008" s="193">
        <v>1813201781</v>
      </c>
      <c r="B1008" s="193" t="s">
        <v>1492</v>
      </c>
      <c r="C1008" s="195">
        <v>188700</v>
      </c>
      <c r="E1008" s="195">
        <v>188700</v>
      </c>
    </row>
    <row r="1009" spans="1:9" x14ac:dyDescent="0.2">
      <c r="A1009" s="193">
        <v>1813201980</v>
      </c>
      <c r="B1009" s="193" t="s">
        <v>127</v>
      </c>
      <c r="C1009" s="195">
        <v>953107</v>
      </c>
      <c r="D1009" s="195">
        <v>704005.62</v>
      </c>
      <c r="E1009" s="195">
        <v>953107</v>
      </c>
      <c r="F1009" s="195">
        <v>1032118</v>
      </c>
    </row>
    <row r="1010" spans="1:9" x14ac:dyDescent="0.2">
      <c r="A1010" s="193">
        <v>1813204110</v>
      </c>
      <c r="B1010" s="193" t="s">
        <v>923</v>
      </c>
      <c r="C1010" s="195">
        <v>1365190</v>
      </c>
      <c r="D1010" s="195">
        <v>1060276.07</v>
      </c>
      <c r="E1010" s="195">
        <v>1365190</v>
      </c>
      <c r="F1010" s="195">
        <v>1405700.55</v>
      </c>
      <c r="G1010" s="195">
        <v>1290256.5900000001</v>
      </c>
      <c r="H1010" s="195">
        <v>1192434.48</v>
      </c>
      <c r="I1010" s="195">
        <v>1114403.6000000001</v>
      </c>
    </row>
    <row r="1011" spans="1:9" x14ac:dyDescent="0.2">
      <c r="A1011" s="193">
        <v>1813204210</v>
      </c>
      <c r="B1011" s="193" t="s">
        <v>919</v>
      </c>
      <c r="D1011" s="195">
        <v>29254.17</v>
      </c>
      <c r="F1011" s="195">
        <v>18588.89</v>
      </c>
      <c r="G1011" s="195">
        <v>3661.86</v>
      </c>
      <c r="H1011" s="195">
        <v>40586.22</v>
      </c>
      <c r="I1011" s="195">
        <v>54780.65</v>
      </c>
    </row>
    <row r="1012" spans="1:9" x14ac:dyDescent="0.2">
      <c r="A1012" s="193">
        <v>1813205110</v>
      </c>
      <c r="B1012" s="193" t="s">
        <v>924</v>
      </c>
      <c r="C1012" s="195">
        <v>1292040</v>
      </c>
      <c r="D1012" s="195">
        <v>995099.2</v>
      </c>
      <c r="E1012" s="195">
        <v>1292040</v>
      </c>
      <c r="F1012" s="195">
        <v>1139164.1000000001</v>
      </c>
      <c r="G1012" s="195">
        <v>1166678.22</v>
      </c>
      <c r="H1012" s="195">
        <v>1147097.57</v>
      </c>
      <c r="I1012" s="195">
        <v>1194103.69</v>
      </c>
    </row>
    <row r="1013" spans="1:9" x14ac:dyDescent="0.2">
      <c r="A1013" s="193">
        <v>1813205210</v>
      </c>
      <c r="B1013" s="193" t="s">
        <v>925</v>
      </c>
      <c r="D1013" s="195">
        <v>47838.44</v>
      </c>
      <c r="F1013" s="195">
        <v>146100.73000000001</v>
      </c>
      <c r="G1013" s="195">
        <v>94656.72</v>
      </c>
      <c r="H1013" s="195">
        <v>82217.52</v>
      </c>
      <c r="I1013" s="195">
        <v>48810.9</v>
      </c>
    </row>
    <row r="1014" spans="1:9" x14ac:dyDescent="0.2">
      <c r="A1014" s="193">
        <v>1813205750</v>
      </c>
      <c r="B1014" s="193" t="s">
        <v>161</v>
      </c>
    </row>
    <row r="1015" spans="1:9" x14ac:dyDescent="0.2">
      <c r="A1015" s="193">
        <v>1813205760</v>
      </c>
      <c r="B1015" s="193" t="s">
        <v>971</v>
      </c>
      <c r="C1015" s="195">
        <v>75000</v>
      </c>
      <c r="D1015" s="195">
        <v>75000</v>
      </c>
      <c r="E1015" s="195">
        <v>75000</v>
      </c>
      <c r="F1015" s="195">
        <v>75000</v>
      </c>
      <c r="G1015" s="195">
        <v>75000</v>
      </c>
      <c r="H1015" s="195">
        <v>75000</v>
      </c>
      <c r="I1015" s="195">
        <v>75000</v>
      </c>
    </row>
    <row r="1016" spans="1:9" x14ac:dyDescent="0.2">
      <c r="A1016" s="193">
        <v>1813205780</v>
      </c>
      <c r="B1016" s="193" t="s">
        <v>972</v>
      </c>
      <c r="C1016" s="195">
        <v>300000</v>
      </c>
      <c r="D1016" s="195">
        <v>300000</v>
      </c>
      <c r="E1016" s="195">
        <v>300000</v>
      </c>
      <c r="F1016" s="195">
        <v>300000</v>
      </c>
      <c r="G1016" s="195">
        <v>300000</v>
      </c>
      <c r="H1016" s="195">
        <v>300000</v>
      </c>
      <c r="I1016" s="195">
        <v>300000</v>
      </c>
    </row>
    <row r="1017" spans="1:9" x14ac:dyDescent="0.2">
      <c r="A1017" s="193">
        <v>1813205781</v>
      </c>
      <c r="B1017" s="193" t="s">
        <v>973</v>
      </c>
      <c r="C1017" s="195">
        <v>60000</v>
      </c>
      <c r="E1017" s="195">
        <v>60000</v>
      </c>
      <c r="F1017" s="195">
        <v>65000</v>
      </c>
      <c r="G1017" s="195">
        <v>60000</v>
      </c>
      <c r="H1017" s="195">
        <v>60000</v>
      </c>
      <c r="I1017" s="195">
        <v>60000</v>
      </c>
    </row>
    <row r="1018" spans="1:9" x14ac:dyDescent="0.2">
      <c r="A1018" s="193">
        <v>1813211110</v>
      </c>
      <c r="B1018" s="193" t="s">
        <v>926</v>
      </c>
      <c r="C1018" s="195">
        <v>187165</v>
      </c>
      <c r="D1018" s="195">
        <v>146368.04999999999</v>
      </c>
      <c r="E1018" s="195">
        <v>187165</v>
      </c>
      <c r="F1018" s="195">
        <v>185956.02</v>
      </c>
      <c r="G1018" s="195">
        <v>227346.65</v>
      </c>
      <c r="H1018" s="195">
        <v>291974.93</v>
      </c>
      <c r="I1018" s="195">
        <v>334235.59000000003</v>
      </c>
    </row>
    <row r="1019" spans="1:9" x14ac:dyDescent="0.2">
      <c r="A1019" s="193">
        <v>1813211750</v>
      </c>
      <c r="B1019" s="193" t="s">
        <v>974</v>
      </c>
      <c r="C1019" s="195">
        <v>1550000</v>
      </c>
      <c r="D1019" s="195">
        <v>712520</v>
      </c>
      <c r="E1019" s="195">
        <v>1550000</v>
      </c>
      <c r="F1019" s="195">
        <v>1602680</v>
      </c>
      <c r="G1019" s="195">
        <v>1482277.95</v>
      </c>
      <c r="H1019" s="195">
        <v>1250946</v>
      </c>
      <c r="I1019" s="195">
        <v>1184967</v>
      </c>
    </row>
    <row r="1020" spans="1:9" x14ac:dyDescent="0.2">
      <c r="A1020" s="193">
        <v>1813213110</v>
      </c>
      <c r="B1020" s="193" t="s">
        <v>927</v>
      </c>
      <c r="C1020" s="195">
        <v>1877371</v>
      </c>
      <c r="D1020" s="195">
        <v>1580669.16</v>
      </c>
      <c r="E1020" s="195">
        <v>1877371</v>
      </c>
      <c r="F1020" s="195">
        <v>2057954.68</v>
      </c>
      <c r="G1020" s="195">
        <v>2124763.58</v>
      </c>
      <c r="H1020" s="195">
        <v>1180124.72</v>
      </c>
      <c r="I1020" s="195">
        <v>1118427.3999999999</v>
      </c>
    </row>
    <row r="1021" spans="1:9" x14ac:dyDescent="0.2">
      <c r="A1021" s="193">
        <v>1813213210</v>
      </c>
      <c r="B1021" s="193" t="s">
        <v>928</v>
      </c>
      <c r="C1021" s="195">
        <v>1170648</v>
      </c>
      <c r="D1021" s="195">
        <v>979922.15</v>
      </c>
      <c r="E1021" s="195">
        <v>1170648</v>
      </c>
      <c r="F1021" s="195">
        <v>1180858.73</v>
      </c>
      <c r="G1021" s="195">
        <v>943143.56</v>
      </c>
      <c r="H1021" s="195">
        <v>838028.85</v>
      </c>
      <c r="I1021" s="195">
        <v>677784.95</v>
      </c>
    </row>
    <row r="1022" spans="1:9" x14ac:dyDescent="0.2">
      <c r="A1022" s="193">
        <v>1813214110</v>
      </c>
      <c r="B1022" s="193" t="s">
        <v>162</v>
      </c>
      <c r="C1022" s="195">
        <v>281398</v>
      </c>
      <c r="D1022" s="195">
        <v>123467.21</v>
      </c>
      <c r="E1022" s="195">
        <v>281398</v>
      </c>
      <c r="F1022" s="195">
        <v>135881.76</v>
      </c>
      <c r="G1022" s="195">
        <v>273200.39</v>
      </c>
    </row>
    <row r="1023" spans="1:9" x14ac:dyDescent="0.2">
      <c r="A1023" s="193">
        <v>1813214210</v>
      </c>
      <c r="B1023" s="193" t="s">
        <v>1158</v>
      </c>
    </row>
    <row r="1024" spans="1:9" x14ac:dyDescent="0.2">
      <c r="A1024" s="193">
        <v>1813300430</v>
      </c>
      <c r="B1024" s="193" t="s">
        <v>975</v>
      </c>
      <c r="C1024" s="195">
        <v>5000</v>
      </c>
      <c r="D1024" s="195">
        <v>5000</v>
      </c>
      <c r="E1024" s="195">
        <v>5000</v>
      </c>
      <c r="F1024" s="195">
        <v>5000</v>
      </c>
      <c r="G1024" s="195">
        <v>5000</v>
      </c>
      <c r="H1024" s="195">
        <v>5000</v>
      </c>
      <c r="I1024" s="195">
        <v>5000</v>
      </c>
    </row>
    <row r="1025" spans="1:9" x14ac:dyDescent="0.2">
      <c r="A1025" s="193">
        <v>1813300721</v>
      </c>
      <c r="B1025" s="193" t="s">
        <v>976</v>
      </c>
      <c r="C1025" s="195">
        <v>520942</v>
      </c>
      <c r="D1025" s="195">
        <v>352914.78</v>
      </c>
      <c r="E1025" s="195">
        <v>520942</v>
      </c>
      <c r="F1025" s="195">
        <v>403719.92</v>
      </c>
      <c r="G1025" s="195">
        <v>191222.84</v>
      </c>
      <c r="H1025" s="195">
        <v>190547.24</v>
      </c>
      <c r="I1025" s="195">
        <v>180213.88</v>
      </c>
    </row>
    <row r="1026" spans="1:9" x14ac:dyDescent="0.2">
      <c r="A1026" s="193">
        <v>1813300780</v>
      </c>
      <c r="B1026" s="193" t="s">
        <v>977</v>
      </c>
      <c r="C1026" s="195">
        <v>20000</v>
      </c>
      <c r="D1026" s="195">
        <v>20000</v>
      </c>
      <c r="E1026" s="195">
        <v>20000</v>
      </c>
      <c r="F1026" s="195">
        <v>20000</v>
      </c>
      <c r="G1026" s="195">
        <v>20085</v>
      </c>
      <c r="H1026" s="195">
        <v>21761</v>
      </c>
      <c r="I1026" s="195">
        <v>20000</v>
      </c>
    </row>
    <row r="1027" spans="1:9" x14ac:dyDescent="0.2">
      <c r="A1027" s="193">
        <v>1813304110</v>
      </c>
      <c r="B1027" s="193" t="s">
        <v>919</v>
      </c>
      <c r="C1027" s="195">
        <v>208733</v>
      </c>
      <c r="D1027" s="195">
        <v>183637.1</v>
      </c>
      <c r="E1027" s="195">
        <v>208733</v>
      </c>
      <c r="F1027" s="195">
        <v>211321.76</v>
      </c>
      <c r="G1027" s="195">
        <v>194460.27</v>
      </c>
      <c r="H1027" s="195">
        <v>176694.25</v>
      </c>
      <c r="I1027" s="195">
        <v>188623.01</v>
      </c>
    </row>
    <row r="1028" spans="1:9" x14ac:dyDescent="0.2">
      <c r="A1028" s="193">
        <v>1813305110</v>
      </c>
      <c r="B1028" s="193" t="s">
        <v>929</v>
      </c>
      <c r="C1028" s="195">
        <v>216436</v>
      </c>
      <c r="D1028" s="195">
        <v>187984.74</v>
      </c>
      <c r="E1028" s="195">
        <v>216436</v>
      </c>
      <c r="F1028" s="195">
        <v>215097.65</v>
      </c>
      <c r="G1028" s="195">
        <v>212435.21</v>
      </c>
      <c r="H1028" s="195">
        <v>194926.74</v>
      </c>
      <c r="I1028" s="195">
        <v>149373.49</v>
      </c>
    </row>
    <row r="1029" spans="1:9" x14ac:dyDescent="0.2">
      <c r="A1029" s="193">
        <v>1813311750</v>
      </c>
      <c r="B1029" s="193" t="s">
        <v>978</v>
      </c>
      <c r="C1029" s="195">
        <v>280000</v>
      </c>
      <c r="D1029" s="195">
        <v>111957</v>
      </c>
      <c r="E1029" s="195">
        <v>280000</v>
      </c>
      <c r="F1029" s="195">
        <v>291056</v>
      </c>
      <c r="G1029" s="195">
        <v>245007.05</v>
      </c>
      <c r="H1029" s="195">
        <v>239390</v>
      </c>
      <c r="I1029" s="195">
        <v>240252</v>
      </c>
    </row>
    <row r="1030" spans="1:9" x14ac:dyDescent="0.2">
      <c r="A1030" s="193">
        <v>1813313110</v>
      </c>
      <c r="B1030" s="193" t="s">
        <v>930</v>
      </c>
      <c r="C1030" s="195">
        <v>2006551</v>
      </c>
      <c r="D1030" s="195">
        <v>1516131.84</v>
      </c>
      <c r="E1030" s="195">
        <v>2006551</v>
      </c>
      <c r="F1030" s="195">
        <v>2209377.0299999998</v>
      </c>
      <c r="G1030" s="195">
        <v>2135059.41</v>
      </c>
      <c r="H1030" s="195">
        <v>2050407.89</v>
      </c>
      <c r="I1030" s="195">
        <v>1870414.61</v>
      </c>
    </row>
    <row r="1031" spans="1:9" x14ac:dyDescent="0.2">
      <c r="A1031" s="193">
        <v>1813313210</v>
      </c>
      <c r="B1031" s="193" t="s">
        <v>931</v>
      </c>
      <c r="C1031" s="195">
        <v>509353</v>
      </c>
      <c r="D1031" s="195">
        <v>511823.78</v>
      </c>
      <c r="E1031" s="195">
        <v>509353</v>
      </c>
      <c r="F1031" s="195">
        <v>538709.16</v>
      </c>
      <c r="G1031" s="195">
        <v>388173.51</v>
      </c>
      <c r="H1031" s="195">
        <v>409178.57</v>
      </c>
      <c r="I1031" s="195">
        <v>404825.33</v>
      </c>
    </row>
    <row r="1032" spans="1:9" x14ac:dyDescent="0.2">
      <c r="A1032" s="193">
        <v>1813317780</v>
      </c>
      <c r="B1032" s="193" t="s">
        <v>289</v>
      </c>
      <c r="C1032" s="195">
        <v>1250000</v>
      </c>
      <c r="D1032" s="195">
        <v>1165746</v>
      </c>
      <c r="E1032" s="195">
        <v>1250000</v>
      </c>
      <c r="F1032" s="195">
        <v>1321642</v>
      </c>
      <c r="G1032" s="195">
        <v>1286498</v>
      </c>
      <c r="H1032" s="195">
        <v>1443419</v>
      </c>
      <c r="I1032" s="195">
        <v>1281862.08</v>
      </c>
    </row>
    <row r="1033" spans="1:9" x14ac:dyDescent="0.2">
      <c r="A1033" s="193">
        <v>1813700750</v>
      </c>
      <c r="B1033" s="193" t="s">
        <v>979</v>
      </c>
      <c r="C1033" s="195">
        <v>65000</v>
      </c>
      <c r="D1033" s="195">
        <v>32069.7</v>
      </c>
      <c r="E1033" s="195">
        <v>65000</v>
      </c>
      <c r="F1033" s="195">
        <v>66277.100000000006</v>
      </c>
      <c r="G1033" s="195">
        <v>61340.35</v>
      </c>
      <c r="H1033" s="195">
        <v>44222.22</v>
      </c>
      <c r="I1033" s="195">
        <v>34960.089999999997</v>
      </c>
    </row>
    <row r="1034" spans="1:9" x14ac:dyDescent="0.2">
      <c r="A1034" s="193">
        <v>1813700780</v>
      </c>
      <c r="B1034" s="193" t="s">
        <v>1491</v>
      </c>
      <c r="C1034" s="195">
        <v>2000</v>
      </c>
      <c r="D1034" s="195">
        <v>-177</v>
      </c>
      <c r="E1034" s="195">
        <v>2000</v>
      </c>
      <c r="F1034" s="195">
        <v>1972</v>
      </c>
      <c r="G1034" s="195">
        <v>2201.02</v>
      </c>
      <c r="H1034" s="195">
        <v>1679.69</v>
      </c>
      <c r="I1034" s="195">
        <v>804</v>
      </c>
    </row>
    <row r="1035" spans="1:9" x14ac:dyDescent="0.2">
      <c r="A1035" s="193">
        <v>1813705110</v>
      </c>
      <c r="B1035" s="193" t="s">
        <v>932</v>
      </c>
      <c r="C1035" s="195">
        <v>123064</v>
      </c>
      <c r="D1035" s="195">
        <v>96831.11</v>
      </c>
      <c r="E1035" s="195">
        <v>123064</v>
      </c>
      <c r="F1035" s="195">
        <v>122009.41</v>
      </c>
      <c r="G1035" s="195">
        <v>121690.6</v>
      </c>
      <c r="H1035" s="195">
        <v>117457.19</v>
      </c>
      <c r="I1035" s="195">
        <v>111615.97</v>
      </c>
    </row>
    <row r="1036" spans="1:9" x14ac:dyDescent="0.2">
      <c r="A1036" s="193">
        <v>1815200810</v>
      </c>
      <c r="B1036" s="193" t="s">
        <v>981</v>
      </c>
      <c r="C1036" s="195">
        <v>38360</v>
      </c>
      <c r="D1036" s="195">
        <v>38360</v>
      </c>
      <c r="E1036" s="195">
        <v>38360</v>
      </c>
      <c r="F1036" s="195">
        <v>38360</v>
      </c>
      <c r="G1036" s="195">
        <v>35360</v>
      </c>
      <c r="H1036" s="195">
        <v>38350</v>
      </c>
      <c r="I1036" s="195">
        <v>35000</v>
      </c>
    </row>
    <row r="1037" spans="1:9" x14ac:dyDescent="0.2">
      <c r="A1037" s="193">
        <v>1815700810</v>
      </c>
      <c r="B1037" s="193" t="s">
        <v>982</v>
      </c>
      <c r="C1037" s="195">
        <v>350000</v>
      </c>
      <c r="D1037" s="195">
        <v>175000</v>
      </c>
      <c r="E1037" s="195">
        <v>350000</v>
      </c>
      <c r="F1037" s="195">
        <v>698666</v>
      </c>
      <c r="G1037" s="195">
        <v>100180</v>
      </c>
      <c r="H1037" s="195">
        <v>-124154</v>
      </c>
      <c r="I1037" s="195">
        <v>65120</v>
      </c>
    </row>
    <row r="1038" spans="1:9" x14ac:dyDescent="0.2">
      <c r="A1038" s="193">
        <v>1815700910</v>
      </c>
      <c r="B1038" s="193" t="s">
        <v>1148</v>
      </c>
    </row>
    <row r="1039" spans="1:9" x14ac:dyDescent="0.2">
      <c r="A1039" s="193">
        <v>1815701110</v>
      </c>
      <c r="B1039" s="193" t="s">
        <v>163</v>
      </c>
    </row>
    <row r="1040" spans="1:9" x14ac:dyDescent="0.2">
      <c r="A1040" s="193">
        <v>1815701810</v>
      </c>
      <c r="B1040" s="193" t="s">
        <v>983</v>
      </c>
      <c r="C1040" s="195">
        <v>14200000</v>
      </c>
      <c r="D1040" s="195">
        <v>14200000</v>
      </c>
      <c r="E1040" s="195">
        <v>14200000</v>
      </c>
      <c r="F1040" s="195">
        <v>13999992</v>
      </c>
      <c r="G1040" s="195">
        <v>14000000</v>
      </c>
      <c r="H1040" s="195">
        <v>12000000</v>
      </c>
    </row>
    <row r="1041" spans="1:9" x14ac:dyDescent="0.2">
      <c r="A1041" s="193">
        <v>1815710810</v>
      </c>
      <c r="B1041" s="193" t="s">
        <v>164</v>
      </c>
    </row>
    <row r="1042" spans="1:9" x14ac:dyDescent="0.2">
      <c r="A1042" s="193">
        <v>1815730422</v>
      </c>
      <c r="B1042" s="193" t="s">
        <v>984</v>
      </c>
      <c r="C1042" s="195">
        <v>13000</v>
      </c>
      <c r="E1042" s="195">
        <v>13000</v>
      </c>
      <c r="G1042" s="195">
        <v>13000</v>
      </c>
      <c r="H1042" s="195">
        <v>13000</v>
      </c>
      <c r="I1042" s="195">
        <v>13000</v>
      </c>
    </row>
    <row r="1043" spans="1:9" x14ac:dyDescent="0.2">
      <c r="A1043" s="193">
        <v>1815777780</v>
      </c>
      <c r="B1043" s="193" t="s">
        <v>985</v>
      </c>
      <c r="C1043" s="195">
        <v>950000</v>
      </c>
      <c r="D1043" s="195">
        <v>425000</v>
      </c>
      <c r="E1043" s="195">
        <v>950000</v>
      </c>
      <c r="F1043" s="195">
        <v>742911</v>
      </c>
      <c r="G1043" s="195">
        <v>1070614.82</v>
      </c>
      <c r="H1043" s="195">
        <v>1254033</v>
      </c>
      <c r="I1043" s="195">
        <v>1062825</v>
      </c>
    </row>
    <row r="1044" spans="1:9" x14ac:dyDescent="0.2">
      <c r="A1044" s="193">
        <v>1815777781</v>
      </c>
      <c r="B1044" s="193" t="s">
        <v>985</v>
      </c>
      <c r="C1044" s="195">
        <v>16000000</v>
      </c>
      <c r="D1044" s="195">
        <v>15999997</v>
      </c>
      <c r="E1044" s="195">
        <v>16000000</v>
      </c>
      <c r="F1044" s="195">
        <v>16099992</v>
      </c>
      <c r="G1044" s="195">
        <v>15000000</v>
      </c>
      <c r="H1044" s="195">
        <v>16000000</v>
      </c>
    </row>
    <row r="1045" spans="1:9" x14ac:dyDescent="0.2">
      <c r="A1045" s="193">
        <v>1815788110</v>
      </c>
      <c r="B1045" s="193" t="s">
        <v>933</v>
      </c>
      <c r="D1045" s="195">
        <v>822.59</v>
      </c>
      <c r="F1045" s="195">
        <v>227508.89</v>
      </c>
      <c r="G1045" s="195">
        <v>207717.67</v>
      </c>
      <c r="H1045" s="195">
        <v>270848.44</v>
      </c>
      <c r="I1045" s="195">
        <v>398440.76</v>
      </c>
    </row>
    <row r="1046" spans="1:9" x14ac:dyDescent="0.2">
      <c r="A1046" s="193">
        <v>1815788780</v>
      </c>
      <c r="B1046" s="193" t="s">
        <v>986</v>
      </c>
      <c r="C1046" s="195">
        <v>650000</v>
      </c>
      <c r="D1046" s="195">
        <v>324179.40999999997</v>
      </c>
      <c r="E1046" s="195">
        <v>650000</v>
      </c>
      <c r="F1046" s="195">
        <v>686578.11</v>
      </c>
      <c r="G1046" s="195">
        <v>442287.07</v>
      </c>
      <c r="H1046" s="195">
        <v>379151.56</v>
      </c>
      <c r="I1046" s="195">
        <v>242937.24</v>
      </c>
    </row>
    <row r="1047" spans="1:9" x14ac:dyDescent="0.2">
      <c r="A1047" s="193">
        <v>1815788781</v>
      </c>
      <c r="B1047" s="193" t="s">
        <v>292</v>
      </c>
      <c r="C1047" s="195">
        <v>7000000</v>
      </c>
      <c r="D1047" s="195">
        <v>7000000</v>
      </c>
      <c r="E1047" s="195">
        <v>7000000</v>
      </c>
      <c r="F1047" s="195">
        <v>7024997</v>
      </c>
      <c r="G1047" s="195">
        <v>7000000</v>
      </c>
      <c r="H1047" s="195">
        <v>7000000</v>
      </c>
    </row>
    <row r="1048" spans="1:9" x14ac:dyDescent="0.2">
      <c r="A1048" s="193">
        <v>1817000752</v>
      </c>
      <c r="B1048" s="193" t="s">
        <v>165</v>
      </c>
    </row>
    <row r="1049" spans="1:9" x14ac:dyDescent="0.2">
      <c r="A1049" s="193">
        <v>1817000980</v>
      </c>
      <c r="B1049" s="193" t="s">
        <v>987</v>
      </c>
      <c r="C1049" s="195">
        <v>570000</v>
      </c>
      <c r="D1049" s="195">
        <v>470886.61</v>
      </c>
      <c r="E1049" s="195">
        <v>570000</v>
      </c>
      <c r="F1049" s="195">
        <v>1740168.93</v>
      </c>
      <c r="G1049" s="195">
        <v>2155562.89</v>
      </c>
      <c r="H1049" s="195">
        <v>1023197.38</v>
      </c>
      <c r="I1049" s="195">
        <v>797462.96</v>
      </c>
    </row>
    <row r="1050" spans="1:9" x14ac:dyDescent="0.2">
      <c r="A1050" s="193">
        <v>1817100110</v>
      </c>
      <c r="B1050" s="193" t="s">
        <v>934</v>
      </c>
      <c r="C1050" s="195">
        <v>241843</v>
      </c>
      <c r="D1050" s="195">
        <v>72654.33</v>
      </c>
      <c r="E1050" s="195">
        <v>241843</v>
      </c>
      <c r="F1050" s="195">
        <v>361314.87</v>
      </c>
      <c r="G1050" s="195">
        <v>367515.9</v>
      </c>
      <c r="H1050" s="195">
        <v>278442.96000000002</v>
      </c>
      <c r="I1050" s="195">
        <v>86662.68</v>
      </c>
    </row>
    <row r="1051" spans="1:9" x14ac:dyDescent="0.2">
      <c r="A1051" s="193">
        <v>1817100750</v>
      </c>
      <c r="B1051" s="193" t="s">
        <v>988</v>
      </c>
      <c r="C1051" s="195">
        <v>1879918</v>
      </c>
      <c r="D1051" s="195">
        <v>1149720.42</v>
      </c>
      <c r="E1051" s="195">
        <v>1879918</v>
      </c>
      <c r="F1051" s="195">
        <v>1871686.27</v>
      </c>
      <c r="G1051" s="195">
        <v>1693040</v>
      </c>
      <c r="H1051" s="195">
        <v>1547008.26</v>
      </c>
      <c r="I1051" s="195">
        <v>1391428.99</v>
      </c>
    </row>
    <row r="1052" spans="1:9" x14ac:dyDescent="0.2">
      <c r="A1052" s="193">
        <v>1817200110</v>
      </c>
      <c r="B1052" s="193" t="s">
        <v>1490</v>
      </c>
      <c r="C1052" s="195">
        <v>219253</v>
      </c>
      <c r="D1052" s="195">
        <v>181222.64</v>
      </c>
      <c r="E1052" s="195">
        <v>219253</v>
      </c>
      <c r="F1052" s="195">
        <v>218130.38</v>
      </c>
      <c r="G1052" s="195">
        <v>222339</v>
      </c>
      <c r="H1052" s="195">
        <v>190194.82</v>
      </c>
      <c r="I1052" s="195">
        <v>159136.79999999999</v>
      </c>
    </row>
    <row r="1053" spans="1:9" x14ac:dyDescent="0.2">
      <c r="A1053" s="193">
        <v>1817200540</v>
      </c>
      <c r="B1053" s="193" t="s">
        <v>989</v>
      </c>
      <c r="C1053" s="195">
        <v>8000</v>
      </c>
      <c r="D1053" s="195">
        <v>2046.73</v>
      </c>
      <c r="E1053" s="195">
        <v>8000</v>
      </c>
      <c r="F1053" s="195">
        <v>4784.1000000000004</v>
      </c>
      <c r="G1053" s="195">
        <v>5365.97</v>
      </c>
      <c r="H1053" s="195">
        <v>8120.81</v>
      </c>
      <c r="I1053" s="195">
        <v>3660.84</v>
      </c>
    </row>
    <row r="1054" spans="1:9" x14ac:dyDescent="0.2">
      <c r="A1054" s="193">
        <v>1817200780</v>
      </c>
      <c r="B1054" s="193" t="s">
        <v>990</v>
      </c>
      <c r="C1054" s="195">
        <v>8000</v>
      </c>
      <c r="E1054" s="195">
        <v>8000</v>
      </c>
      <c r="F1054" s="195">
        <v>8000</v>
      </c>
      <c r="G1054" s="195">
        <v>8000</v>
      </c>
      <c r="H1054" s="195">
        <v>3178.42</v>
      </c>
      <c r="I1054" s="195">
        <v>4906.7299999999996</v>
      </c>
    </row>
    <row r="1055" spans="1:9" x14ac:dyDescent="0.2">
      <c r="A1055" s="193">
        <v>1817300110</v>
      </c>
      <c r="B1055" s="193" t="s">
        <v>523</v>
      </c>
      <c r="C1055" s="195">
        <v>1759549</v>
      </c>
      <c r="D1055" s="195">
        <v>1438221.98</v>
      </c>
      <c r="E1055" s="195">
        <v>1759549</v>
      </c>
      <c r="F1055" s="195">
        <v>1761289.22</v>
      </c>
      <c r="G1055" s="195">
        <v>1731921.63</v>
      </c>
      <c r="H1055" s="195">
        <v>1547579.97</v>
      </c>
      <c r="I1055" s="195">
        <v>1490057.66</v>
      </c>
    </row>
    <row r="1056" spans="1:9" x14ac:dyDescent="0.2">
      <c r="A1056" s="193">
        <v>1817300430</v>
      </c>
      <c r="B1056" s="193" t="s">
        <v>839</v>
      </c>
      <c r="C1056" s="195">
        <v>25000</v>
      </c>
      <c r="D1056" s="195">
        <v>15288.73</v>
      </c>
      <c r="E1056" s="195">
        <v>25000</v>
      </c>
      <c r="F1056" s="195">
        <v>31219.78</v>
      </c>
      <c r="G1056" s="195">
        <v>34059.01</v>
      </c>
      <c r="H1056" s="195">
        <v>21939.4</v>
      </c>
      <c r="I1056" s="195">
        <v>14438.7</v>
      </c>
    </row>
    <row r="1057" spans="1:9" x14ac:dyDescent="0.2">
      <c r="A1057" s="193">
        <v>1817300470</v>
      </c>
      <c r="B1057" s="193" t="s">
        <v>820</v>
      </c>
      <c r="C1057" s="195">
        <v>3000</v>
      </c>
      <c r="D1057" s="195">
        <v>1382.29</v>
      </c>
      <c r="E1057" s="195">
        <v>3000</v>
      </c>
      <c r="F1057" s="195">
        <v>1423.85</v>
      </c>
      <c r="G1057" s="195">
        <v>2996.25</v>
      </c>
      <c r="H1057" s="195">
        <v>3254.62</v>
      </c>
      <c r="I1057" s="195">
        <v>3217.39</v>
      </c>
    </row>
    <row r="1058" spans="1:9" x14ac:dyDescent="0.2">
      <c r="A1058" s="193">
        <v>1817300511</v>
      </c>
      <c r="B1058" s="193" t="s">
        <v>697</v>
      </c>
      <c r="C1058" s="195">
        <v>1500</v>
      </c>
      <c r="D1058" s="195">
        <v>750</v>
      </c>
      <c r="E1058" s="195">
        <v>1500</v>
      </c>
      <c r="F1058" s="195">
        <v>1500</v>
      </c>
      <c r="G1058" s="195">
        <v>1512.81</v>
      </c>
      <c r="H1058" s="195">
        <v>1521.7</v>
      </c>
      <c r="I1058" s="195">
        <v>1045.81</v>
      </c>
    </row>
    <row r="1059" spans="1:9" x14ac:dyDescent="0.2">
      <c r="A1059" s="193">
        <v>1817300521</v>
      </c>
      <c r="B1059" s="193" t="s">
        <v>991</v>
      </c>
      <c r="C1059" s="195">
        <v>55334</v>
      </c>
      <c r="D1059" s="195">
        <v>23301.68</v>
      </c>
      <c r="E1059" s="195">
        <v>55334</v>
      </c>
      <c r="F1059" s="195">
        <v>50472</v>
      </c>
      <c r="G1059" s="195">
        <v>52134.45</v>
      </c>
      <c r="H1059" s="195">
        <v>46136.5</v>
      </c>
      <c r="I1059" s="195">
        <v>51452</v>
      </c>
    </row>
    <row r="1060" spans="1:9" x14ac:dyDescent="0.2">
      <c r="A1060" s="193">
        <v>1817300540</v>
      </c>
      <c r="B1060" s="193" t="s">
        <v>875</v>
      </c>
      <c r="C1060" s="195">
        <v>11000</v>
      </c>
      <c r="D1060" s="195">
        <v>5498.81</v>
      </c>
      <c r="E1060" s="195">
        <v>11000</v>
      </c>
      <c r="F1060" s="195">
        <v>11558.76</v>
      </c>
      <c r="G1060" s="195">
        <v>13092.05</v>
      </c>
      <c r="H1060" s="195">
        <v>13824.91</v>
      </c>
      <c r="I1060" s="195">
        <v>9997.74</v>
      </c>
    </row>
    <row r="1061" spans="1:9" x14ac:dyDescent="0.2">
      <c r="A1061" s="193">
        <v>1817300720</v>
      </c>
      <c r="B1061" s="193" t="s">
        <v>689</v>
      </c>
      <c r="C1061" s="195">
        <v>1000</v>
      </c>
      <c r="D1061" s="195">
        <v>1037</v>
      </c>
      <c r="E1061" s="195">
        <v>1000</v>
      </c>
      <c r="F1061" s="195">
        <v>1000</v>
      </c>
      <c r="G1061" s="195">
        <v>995.25</v>
      </c>
      <c r="H1061" s="195">
        <v>1043.75</v>
      </c>
      <c r="I1061" s="195">
        <v>946.61</v>
      </c>
    </row>
    <row r="1062" spans="1:9" x14ac:dyDescent="0.2">
      <c r="A1062" s="193">
        <v>1817300750</v>
      </c>
      <c r="B1062" s="193" t="s">
        <v>714</v>
      </c>
      <c r="C1062" s="195">
        <v>25000</v>
      </c>
      <c r="D1062" s="195">
        <v>11321.6</v>
      </c>
      <c r="E1062" s="195">
        <v>25000</v>
      </c>
      <c r="F1062" s="195">
        <v>9286.0300000000007</v>
      </c>
      <c r="G1062" s="195">
        <v>10365</v>
      </c>
      <c r="H1062" s="195">
        <v>5000</v>
      </c>
      <c r="I1062" s="195">
        <v>5000.05</v>
      </c>
    </row>
    <row r="1063" spans="1:9" x14ac:dyDescent="0.2">
      <c r="A1063" s="193">
        <v>1817300780</v>
      </c>
      <c r="B1063" s="193" t="s">
        <v>580</v>
      </c>
      <c r="C1063" s="195">
        <v>7000</v>
      </c>
      <c r="D1063" s="195">
        <v>2477.09</v>
      </c>
      <c r="E1063" s="195">
        <v>7000</v>
      </c>
      <c r="F1063" s="195">
        <v>7567.28</v>
      </c>
      <c r="G1063" s="195">
        <v>9544.32</v>
      </c>
      <c r="H1063" s="195">
        <v>5772.98</v>
      </c>
      <c r="I1063" s="195">
        <v>6301.72</v>
      </c>
    </row>
    <row r="1064" spans="1:9" x14ac:dyDescent="0.2">
      <c r="A1064" s="193">
        <v>1817304110</v>
      </c>
      <c r="B1064" s="193" t="s">
        <v>936</v>
      </c>
      <c r="C1064" s="195">
        <v>197007</v>
      </c>
      <c r="D1064" s="195">
        <v>149555.18</v>
      </c>
      <c r="E1064" s="195">
        <v>197007</v>
      </c>
      <c r="F1064" s="195">
        <v>195415.08</v>
      </c>
      <c r="G1064" s="195">
        <v>204707.58</v>
      </c>
      <c r="H1064" s="195">
        <v>167872.34</v>
      </c>
      <c r="I1064" s="195">
        <v>154002.81</v>
      </c>
    </row>
    <row r="1065" spans="1:9" x14ac:dyDescent="0.2">
      <c r="A1065" s="193">
        <v>1817311110</v>
      </c>
      <c r="B1065" s="193" t="s">
        <v>937</v>
      </c>
      <c r="G1065" s="195">
        <v>-102.15</v>
      </c>
      <c r="H1065" s="195">
        <v>56140.84</v>
      </c>
      <c r="I1065" s="195">
        <v>62237.49</v>
      </c>
    </row>
    <row r="1066" spans="1:9" x14ac:dyDescent="0.2">
      <c r="A1066" s="193">
        <v>1817500760</v>
      </c>
      <c r="B1066" s="193" t="s">
        <v>992</v>
      </c>
      <c r="C1066" s="195">
        <v>285000</v>
      </c>
      <c r="D1066" s="195">
        <v>1237.5</v>
      </c>
      <c r="E1066" s="195">
        <v>285000</v>
      </c>
      <c r="F1066" s="195">
        <v>297495</v>
      </c>
      <c r="G1066" s="195">
        <v>282299</v>
      </c>
      <c r="H1066" s="195">
        <v>116892</v>
      </c>
      <c r="I1066" s="195">
        <v>197710</v>
      </c>
    </row>
    <row r="1067" spans="1:9" x14ac:dyDescent="0.2">
      <c r="A1067" s="193">
        <v>1817600110</v>
      </c>
      <c r="B1067" s="193" t="s">
        <v>523</v>
      </c>
      <c r="C1067" s="195">
        <v>358370</v>
      </c>
      <c r="D1067" s="195">
        <v>278089.40000000002</v>
      </c>
      <c r="E1067" s="195">
        <v>358370</v>
      </c>
      <c r="F1067" s="195">
        <v>355256.55</v>
      </c>
      <c r="G1067" s="195">
        <v>345343.67</v>
      </c>
      <c r="H1067" s="195">
        <v>330127.01</v>
      </c>
      <c r="I1067" s="195">
        <v>336594.97</v>
      </c>
    </row>
    <row r="1068" spans="1:9" x14ac:dyDescent="0.2">
      <c r="A1068" s="193">
        <v>1817600780</v>
      </c>
      <c r="B1068" s="193" t="s">
        <v>580</v>
      </c>
    </row>
    <row r="1069" spans="1:9" x14ac:dyDescent="0.2">
      <c r="A1069" s="193">
        <v>1817600980</v>
      </c>
      <c r="B1069" s="193" t="s">
        <v>993</v>
      </c>
      <c r="C1069" s="195">
        <v>826876</v>
      </c>
      <c r="D1069" s="195">
        <v>188540</v>
      </c>
      <c r="E1069" s="195">
        <v>826876</v>
      </c>
      <c r="F1069" s="195">
        <v>971224.98</v>
      </c>
      <c r="G1069" s="195">
        <v>414699.79</v>
      </c>
      <c r="H1069" s="195">
        <v>1139208</v>
      </c>
      <c r="I1069" s="195">
        <v>1121497.8500000001</v>
      </c>
    </row>
    <row r="1070" spans="1:9" x14ac:dyDescent="0.2">
      <c r="A1070" s="193">
        <v>1817613110</v>
      </c>
      <c r="B1070" s="193" t="s">
        <v>166</v>
      </c>
      <c r="I1070" s="195">
        <v>5.75</v>
      </c>
    </row>
    <row r="1071" spans="1:9" x14ac:dyDescent="0.2">
      <c r="A1071" s="193">
        <v>1817622110</v>
      </c>
      <c r="B1071" s="193" t="s">
        <v>167</v>
      </c>
      <c r="F1071" s="195">
        <v>20071.04</v>
      </c>
    </row>
    <row r="1072" spans="1:9" x14ac:dyDescent="0.2">
      <c r="A1072" s="193">
        <v>1817622210</v>
      </c>
      <c r="B1072" s="193" t="s">
        <v>938</v>
      </c>
      <c r="C1072" s="195">
        <v>272197</v>
      </c>
      <c r="D1072" s="195">
        <v>142806.16</v>
      </c>
      <c r="E1072" s="195">
        <v>272197</v>
      </c>
      <c r="F1072" s="195">
        <v>264306.83</v>
      </c>
      <c r="G1072" s="195">
        <v>324492.61</v>
      </c>
      <c r="H1072" s="195">
        <v>326264.59000000003</v>
      </c>
      <c r="I1072" s="195">
        <v>195992.81</v>
      </c>
    </row>
    <row r="1073" spans="1:9" x14ac:dyDescent="0.2">
      <c r="A1073" s="193">
        <v>1817700110</v>
      </c>
      <c r="B1073" s="193" t="s">
        <v>939</v>
      </c>
      <c r="C1073" s="195">
        <v>768564</v>
      </c>
      <c r="D1073" s="195">
        <v>614060.9</v>
      </c>
      <c r="E1073" s="195">
        <v>768564</v>
      </c>
      <c r="F1073" s="195">
        <v>761811.45</v>
      </c>
      <c r="G1073" s="195">
        <v>692536.72</v>
      </c>
      <c r="H1073" s="195">
        <v>631882.82999999996</v>
      </c>
      <c r="I1073" s="195">
        <v>613741.1</v>
      </c>
    </row>
    <row r="1074" spans="1:9" x14ac:dyDescent="0.2">
      <c r="A1074" s="193">
        <v>1817700721</v>
      </c>
      <c r="B1074" s="193" t="s">
        <v>168</v>
      </c>
    </row>
    <row r="1075" spans="1:9" x14ac:dyDescent="0.2">
      <c r="A1075" s="193">
        <v>1817700780</v>
      </c>
      <c r="B1075" s="193" t="s">
        <v>388</v>
      </c>
      <c r="C1075" s="195">
        <v>5000</v>
      </c>
      <c r="D1075" s="195">
        <v>2000</v>
      </c>
      <c r="E1075" s="195">
        <v>5000</v>
      </c>
      <c r="F1075" s="195">
        <v>5291.5</v>
      </c>
      <c r="G1075" s="195">
        <v>5000</v>
      </c>
      <c r="H1075" s="195">
        <v>4980</v>
      </c>
      <c r="I1075" s="195">
        <v>1871</v>
      </c>
    </row>
    <row r="1076" spans="1:9" x14ac:dyDescent="0.2">
      <c r="A1076" s="193">
        <v>1817700930</v>
      </c>
      <c r="B1076" s="193" t="s">
        <v>1247</v>
      </c>
      <c r="H1076" s="195">
        <v>630.36</v>
      </c>
      <c r="I1076" s="195">
        <v>392.33</v>
      </c>
    </row>
    <row r="1077" spans="1:9" x14ac:dyDescent="0.2">
      <c r="A1077" s="193">
        <v>1817701110</v>
      </c>
      <c r="B1077" s="193" t="s">
        <v>940</v>
      </c>
      <c r="C1077" s="195">
        <v>165583</v>
      </c>
      <c r="D1077" s="195">
        <v>138459.35</v>
      </c>
      <c r="E1077" s="195">
        <v>165583</v>
      </c>
      <c r="F1077" s="195">
        <v>168812.35</v>
      </c>
      <c r="G1077" s="195">
        <v>149634.54</v>
      </c>
      <c r="H1077" s="195">
        <v>133671.07999999999</v>
      </c>
      <c r="I1077" s="195">
        <v>118203.98</v>
      </c>
    </row>
    <row r="1078" spans="1:9" x14ac:dyDescent="0.2">
      <c r="A1078" s="193">
        <v>1817710110</v>
      </c>
      <c r="B1078" s="193" t="s">
        <v>941</v>
      </c>
      <c r="D1078" s="195">
        <v>14792.13</v>
      </c>
      <c r="F1078" s="195">
        <v>5105.82</v>
      </c>
      <c r="G1078" s="195">
        <v>13922.5</v>
      </c>
      <c r="H1078" s="195">
        <v>11851.08</v>
      </c>
    </row>
    <row r="1079" spans="1:9" x14ac:dyDescent="0.2">
      <c r="A1079" s="193">
        <v>1817710721</v>
      </c>
      <c r="B1079" s="193" t="s">
        <v>994</v>
      </c>
      <c r="D1079" s="195">
        <v>102770</v>
      </c>
      <c r="F1079" s="195">
        <v>220212</v>
      </c>
      <c r="G1079" s="195">
        <v>217019.37</v>
      </c>
      <c r="H1079" s="195">
        <v>195519</v>
      </c>
    </row>
    <row r="1080" spans="1:9" x14ac:dyDescent="0.2">
      <c r="A1080" s="193">
        <v>1817711110</v>
      </c>
      <c r="B1080" s="193" t="s">
        <v>942</v>
      </c>
      <c r="D1080" s="195">
        <v>34123.56</v>
      </c>
      <c r="F1080" s="195">
        <v>65683.679999999993</v>
      </c>
      <c r="G1080" s="195">
        <v>63870.48</v>
      </c>
      <c r="H1080" s="195">
        <v>63582.85</v>
      </c>
      <c r="I1080" s="195">
        <v>44074.83</v>
      </c>
    </row>
    <row r="1081" spans="1:9" x14ac:dyDescent="0.2">
      <c r="A1081" s="193">
        <v>1817727110</v>
      </c>
      <c r="B1081" s="193" t="s">
        <v>943</v>
      </c>
      <c r="D1081" s="195">
        <v>16355.59</v>
      </c>
      <c r="F1081" s="195">
        <v>100055.44</v>
      </c>
      <c r="G1081" s="195">
        <v>94669.11</v>
      </c>
      <c r="H1081" s="195">
        <v>92806.15</v>
      </c>
      <c r="I1081" s="195">
        <v>88838.58</v>
      </c>
    </row>
    <row r="1082" spans="1:9" x14ac:dyDescent="0.2">
      <c r="A1082" s="193">
        <v>1817728110</v>
      </c>
      <c r="B1082" s="193" t="s">
        <v>944</v>
      </c>
      <c r="D1082" s="195">
        <v>102337.8</v>
      </c>
      <c r="F1082" s="195">
        <v>185747.92</v>
      </c>
      <c r="G1082" s="195">
        <v>176894.11</v>
      </c>
      <c r="H1082" s="195">
        <v>173452.92</v>
      </c>
      <c r="I1082" s="195">
        <v>168638.24</v>
      </c>
    </row>
    <row r="1083" spans="1:9" x14ac:dyDescent="0.2">
      <c r="A1083" s="193">
        <v>1817800110</v>
      </c>
      <c r="B1083" s="193" t="s">
        <v>1159</v>
      </c>
      <c r="D1083" s="195">
        <v>33498.589999999997</v>
      </c>
      <c r="F1083" s="195">
        <v>106739.7</v>
      </c>
      <c r="G1083" s="195">
        <v>100962.36</v>
      </c>
      <c r="H1083" s="195">
        <v>58681.04</v>
      </c>
      <c r="I1083" s="195">
        <v>-26074.6</v>
      </c>
    </row>
    <row r="1084" spans="1:9" x14ac:dyDescent="0.2">
      <c r="A1084" s="193">
        <v>1817800210</v>
      </c>
      <c r="B1084" s="193" t="s">
        <v>945</v>
      </c>
      <c r="C1084" s="195">
        <v>1933467</v>
      </c>
      <c r="D1084" s="195">
        <v>1410215.91</v>
      </c>
      <c r="E1084" s="195">
        <v>1933467</v>
      </c>
      <c r="F1084" s="195">
        <v>1810848.04</v>
      </c>
      <c r="G1084" s="195">
        <v>1752127.25</v>
      </c>
      <c r="H1084" s="195">
        <v>1581534.45</v>
      </c>
      <c r="I1084" s="195">
        <v>1312433.06</v>
      </c>
    </row>
    <row r="1085" spans="1:9" x14ac:dyDescent="0.2">
      <c r="A1085" s="193">
        <v>1817800510</v>
      </c>
      <c r="B1085" s="193" t="s">
        <v>995</v>
      </c>
      <c r="C1085" s="195">
        <v>5295974</v>
      </c>
      <c r="D1085" s="195">
        <v>2847566.47</v>
      </c>
      <c r="E1085" s="195">
        <v>5295974</v>
      </c>
      <c r="F1085" s="195">
        <v>5250557.6100000003</v>
      </c>
      <c r="G1085" s="195">
        <v>5152524.0599999996</v>
      </c>
      <c r="H1085" s="195">
        <v>4828565.05</v>
      </c>
      <c r="I1085" s="195">
        <v>4544236.97</v>
      </c>
    </row>
    <row r="1086" spans="1:9" x14ac:dyDescent="0.2">
      <c r="A1086" s="193">
        <v>1817900110</v>
      </c>
      <c r="B1086" s="193" t="s">
        <v>523</v>
      </c>
      <c r="C1086" s="195">
        <v>155814</v>
      </c>
      <c r="D1086" s="195">
        <v>129227.59</v>
      </c>
      <c r="E1086" s="195">
        <v>155814</v>
      </c>
      <c r="F1086" s="195">
        <v>156692.25</v>
      </c>
      <c r="G1086" s="195">
        <v>145004.48000000001</v>
      </c>
      <c r="H1086" s="195">
        <v>134154.32999999999</v>
      </c>
      <c r="I1086" s="195">
        <v>135119.70000000001</v>
      </c>
    </row>
    <row r="1087" spans="1:9" x14ac:dyDescent="0.2">
      <c r="A1087" s="193">
        <v>1817900430</v>
      </c>
      <c r="B1087" s="193" t="s">
        <v>996</v>
      </c>
      <c r="C1087" s="195">
        <v>9000</v>
      </c>
      <c r="D1087" s="195">
        <v>4635.43</v>
      </c>
      <c r="E1087" s="195">
        <v>9000</v>
      </c>
      <c r="F1087" s="195">
        <v>5284.99</v>
      </c>
      <c r="G1087" s="195">
        <v>5133.68</v>
      </c>
      <c r="H1087" s="195">
        <v>9587.51</v>
      </c>
      <c r="I1087" s="195">
        <v>12547.11</v>
      </c>
    </row>
    <row r="1088" spans="1:9" x14ac:dyDescent="0.2">
      <c r="A1088" s="193">
        <v>1817900540</v>
      </c>
      <c r="B1088" s="193" t="s">
        <v>997</v>
      </c>
      <c r="C1088" s="195">
        <v>10000</v>
      </c>
      <c r="D1088" s="195">
        <v>2315.08</v>
      </c>
      <c r="E1088" s="195">
        <v>10000</v>
      </c>
      <c r="F1088" s="195">
        <v>4858.37</v>
      </c>
      <c r="G1088" s="195">
        <v>5654.02</v>
      </c>
      <c r="H1088" s="195">
        <v>6845.94</v>
      </c>
      <c r="I1088" s="195">
        <v>8189.74</v>
      </c>
    </row>
    <row r="1089" spans="1:9" x14ac:dyDescent="0.2">
      <c r="A1089" s="193">
        <v>1817900750</v>
      </c>
      <c r="B1089" s="193" t="s">
        <v>714</v>
      </c>
      <c r="H1089" s="195">
        <v>48538</v>
      </c>
      <c r="I1089" s="195">
        <v>45127</v>
      </c>
    </row>
    <row r="1090" spans="1:9" x14ac:dyDescent="0.2">
      <c r="A1090" s="193">
        <v>1817900780</v>
      </c>
      <c r="B1090" s="193" t="s">
        <v>580</v>
      </c>
      <c r="H1090" s="195">
        <v>945</v>
      </c>
      <c r="I1090" s="195">
        <v>3097.4</v>
      </c>
    </row>
    <row r="1091" spans="1:9" x14ac:dyDescent="0.2">
      <c r="A1091" s="193">
        <v>1817900811</v>
      </c>
      <c r="B1091" s="193" t="s">
        <v>169</v>
      </c>
    </row>
    <row r="1092" spans="1:9" x14ac:dyDescent="0.2">
      <c r="A1092" s="193">
        <v>1817900910</v>
      </c>
      <c r="B1092" s="193" t="s">
        <v>704</v>
      </c>
      <c r="C1092" s="195">
        <v>52332</v>
      </c>
      <c r="E1092" s="195">
        <v>52332</v>
      </c>
      <c r="F1092" s="195">
        <v>49806</v>
      </c>
      <c r="H1092" s="195">
        <v>52332</v>
      </c>
      <c r="I1092" s="195">
        <v>96786</v>
      </c>
    </row>
    <row r="1093" spans="1:9" x14ac:dyDescent="0.2">
      <c r="A1093" s="193">
        <v>1817904110</v>
      </c>
      <c r="B1093" s="193" t="s">
        <v>946</v>
      </c>
      <c r="C1093" s="195">
        <v>168827</v>
      </c>
      <c r="D1093" s="195">
        <v>131233.76999999999</v>
      </c>
      <c r="E1093" s="195">
        <v>168827</v>
      </c>
      <c r="F1093" s="195">
        <v>168156.74</v>
      </c>
      <c r="G1093" s="195">
        <v>159726.48000000001</v>
      </c>
      <c r="H1093" s="195">
        <v>99403.46</v>
      </c>
      <c r="I1093" s="195">
        <v>85540.3</v>
      </c>
    </row>
    <row r="1094" spans="1:9" x14ac:dyDescent="0.2">
      <c r="A1094" s="193">
        <v>1817910210</v>
      </c>
      <c r="B1094" s="193" t="s">
        <v>170</v>
      </c>
    </row>
    <row r="1095" spans="1:9" x14ac:dyDescent="0.2">
      <c r="A1095" s="193">
        <v>1817910780</v>
      </c>
      <c r="B1095" s="193" t="s">
        <v>171</v>
      </c>
    </row>
    <row r="1096" spans="1:9" x14ac:dyDescent="0.2">
      <c r="A1096" s="193">
        <v>1817922780</v>
      </c>
      <c r="B1096" s="193" t="s">
        <v>998</v>
      </c>
      <c r="C1096" s="195">
        <v>26271</v>
      </c>
      <c r="D1096" s="195">
        <v>29190</v>
      </c>
      <c r="E1096" s="195">
        <v>26271</v>
      </c>
      <c r="G1096" s="195">
        <v>55461</v>
      </c>
      <c r="I1096" s="195">
        <v>29190</v>
      </c>
    </row>
    <row r="1097" spans="1:9" x14ac:dyDescent="0.2">
      <c r="A1097" s="193">
        <v>1817950210</v>
      </c>
      <c r="B1097" s="193" t="s">
        <v>947</v>
      </c>
      <c r="C1097" s="195">
        <v>1285248</v>
      </c>
      <c r="D1097" s="195">
        <v>973173.13</v>
      </c>
      <c r="E1097" s="195">
        <v>1285248</v>
      </c>
      <c r="F1097" s="195">
        <v>1134151.22</v>
      </c>
      <c r="G1097" s="195">
        <v>984956.04</v>
      </c>
      <c r="H1097" s="195">
        <v>944582.41</v>
      </c>
      <c r="I1097" s="195">
        <v>1009688.37</v>
      </c>
    </row>
    <row r="1098" spans="1:9" x14ac:dyDescent="0.2">
      <c r="A1098" s="193">
        <v>1817950430</v>
      </c>
      <c r="B1098" s="193" t="s">
        <v>999</v>
      </c>
      <c r="C1098" s="195">
        <v>37500</v>
      </c>
      <c r="D1098" s="195">
        <v>25456.36</v>
      </c>
      <c r="E1098" s="195">
        <v>37500</v>
      </c>
      <c r="F1098" s="195">
        <v>36121.97</v>
      </c>
      <c r="G1098" s="195">
        <v>33412.01</v>
      </c>
      <c r="H1098" s="195">
        <v>34781.050000000003</v>
      </c>
      <c r="I1098" s="195">
        <v>48801.58</v>
      </c>
    </row>
    <row r="1099" spans="1:9" x14ac:dyDescent="0.2">
      <c r="A1099" s="193">
        <v>1817950540</v>
      </c>
      <c r="B1099" s="193" t="s">
        <v>1000</v>
      </c>
      <c r="C1099" s="195">
        <v>35000</v>
      </c>
      <c r="D1099" s="195">
        <v>19196.32</v>
      </c>
      <c r="E1099" s="195">
        <v>35000</v>
      </c>
      <c r="F1099" s="195">
        <v>41981.15</v>
      </c>
      <c r="G1099" s="195">
        <v>39855.49</v>
      </c>
      <c r="H1099" s="195">
        <v>34778.53</v>
      </c>
      <c r="I1099" s="195">
        <v>13754.24</v>
      </c>
    </row>
    <row r="1100" spans="1:9" x14ac:dyDescent="0.2">
      <c r="A1100" s="193">
        <v>1817950750</v>
      </c>
      <c r="B1100" s="193" t="s">
        <v>1001</v>
      </c>
      <c r="C1100" s="195">
        <v>60000</v>
      </c>
      <c r="D1100" s="195">
        <v>49737</v>
      </c>
      <c r="E1100" s="195">
        <v>60000</v>
      </c>
      <c r="F1100" s="195">
        <v>53950</v>
      </c>
      <c r="G1100" s="195">
        <v>33862</v>
      </c>
      <c r="H1100" s="195">
        <v>54189</v>
      </c>
      <c r="I1100" s="195">
        <v>47904.29</v>
      </c>
    </row>
    <row r="1101" spans="1:9" x14ac:dyDescent="0.2">
      <c r="A1101" s="193">
        <v>1817950780</v>
      </c>
      <c r="B1101" s="193" t="s">
        <v>172</v>
      </c>
    </row>
    <row r="1102" spans="1:9" x14ac:dyDescent="0.2">
      <c r="A1102" s="193">
        <v>1817950980</v>
      </c>
      <c r="B1102" s="193" t="s">
        <v>1002</v>
      </c>
      <c r="C1102" s="195">
        <v>339500</v>
      </c>
      <c r="D1102" s="195">
        <v>271496.43</v>
      </c>
      <c r="E1102" s="195">
        <v>339500</v>
      </c>
      <c r="F1102" s="195">
        <v>310574.81</v>
      </c>
      <c r="G1102" s="195">
        <v>260442.74</v>
      </c>
      <c r="H1102" s="195">
        <v>313778.28000000003</v>
      </c>
      <c r="I1102" s="195">
        <v>109161.3</v>
      </c>
    </row>
    <row r="1103" spans="1:9" x14ac:dyDescent="0.2">
      <c r="A1103" s="193">
        <v>1817951110</v>
      </c>
      <c r="B1103" s="193" t="s">
        <v>948</v>
      </c>
      <c r="C1103" s="195">
        <v>125000</v>
      </c>
      <c r="D1103" s="195">
        <v>68409.55</v>
      </c>
      <c r="E1103" s="195">
        <v>125000</v>
      </c>
      <c r="F1103" s="195">
        <v>66267.66</v>
      </c>
      <c r="G1103" s="195">
        <v>108794.01</v>
      </c>
      <c r="H1103" s="195">
        <v>67319.23</v>
      </c>
    </row>
    <row r="1104" spans="1:9" x14ac:dyDescent="0.2">
      <c r="A1104" s="193">
        <v>1817952110</v>
      </c>
      <c r="B1104" s="193" t="s">
        <v>128</v>
      </c>
    </row>
    <row r="1105" spans="1:9" x14ac:dyDescent="0.2">
      <c r="A1105" s="193">
        <v>1817960110</v>
      </c>
      <c r="B1105" s="193" t="s">
        <v>949</v>
      </c>
      <c r="C1105" s="195">
        <v>728336</v>
      </c>
      <c r="D1105" s="195">
        <v>622052.85</v>
      </c>
      <c r="E1105" s="195">
        <v>728336</v>
      </c>
      <c r="F1105" s="195">
        <v>728474.97</v>
      </c>
      <c r="G1105" s="195">
        <v>655036.86</v>
      </c>
      <c r="H1105" s="195">
        <v>665324.77</v>
      </c>
      <c r="I1105" s="195">
        <v>751453.98</v>
      </c>
    </row>
    <row r="1106" spans="1:9" x14ac:dyDescent="0.2">
      <c r="A1106" s="193">
        <v>1817960430</v>
      </c>
      <c r="B1106" s="193" t="s">
        <v>1003</v>
      </c>
      <c r="C1106" s="195">
        <v>11000</v>
      </c>
      <c r="D1106" s="195">
        <v>5504.52</v>
      </c>
      <c r="E1106" s="195">
        <v>11000</v>
      </c>
      <c r="F1106" s="195">
        <v>12750.5</v>
      </c>
      <c r="G1106" s="195">
        <v>12042.26</v>
      </c>
      <c r="H1106" s="195">
        <v>10803.46</v>
      </c>
      <c r="I1106" s="195">
        <v>8183.12</v>
      </c>
    </row>
    <row r="1107" spans="1:9" x14ac:dyDescent="0.2">
      <c r="A1107" s="193">
        <v>1817960540</v>
      </c>
      <c r="B1107" s="193" t="s">
        <v>1004</v>
      </c>
      <c r="D1107" s="195">
        <v>76.099999999999994</v>
      </c>
      <c r="I1107" s="195">
        <v>1359.84</v>
      </c>
    </row>
    <row r="1108" spans="1:9" x14ac:dyDescent="0.2">
      <c r="A1108" s="193">
        <v>1817960780</v>
      </c>
      <c r="B1108" s="193" t="s">
        <v>1005</v>
      </c>
      <c r="C1108" s="195">
        <v>105000</v>
      </c>
      <c r="D1108" s="195">
        <v>2320.3200000000002</v>
      </c>
      <c r="E1108" s="195">
        <v>105000</v>
      </c>
      <c r="F1108" s="195">
        <v>110056.54</v>
      </c>
      <c r="G1108" s="195">
        <v>94966.11</v>
      </c>
      <c r="H1108" s="195">
        <v>67592.37</v>
      </c>
      <c r="I1108" s="195">
        <v>78729.98</v>
      </c>
    </row>
    <row r="1109" spans="1:9" x14ac:dyDescent="0.2">
      <c r="A1109" s="193">
        <v>1817960781</v>
      </c>
      <c r="B1109" s="193" t="s">
        <v>1006</v>
      </c>
      <c r="C1109" s="195">
        <v>55000</v>
      </c>
      <c r="D1109" s="195">
        <v>47734.78</v>
      </c>
      <c r="E1109" s="195">
        <v>55000</v>
      </c>
      <c r="F1109" s="195">
        <v>53257.07</v>
      </c>
      <c r="G1109" s="195">
        <v>52603.83</v>
      </c>
      <c r="H1109" s="195">
        <v>30360.77</v>
      </c>
      <c r="I1109" s="195">
        <v>30319.55</v>
      </c>
    </row>
    <row r="1110" spans="1:9" x14ac:dyDescent="0.2">
      <c r="A1110" s="193">
        <v>1817961110</v>
      </c>
      <c r="B1110" s="193" t="s">
        <v>950</v>
      </c>
      <c r="C1110" s="195">
        <v>86870</v>
      </c>
      <c r="D1110" s="195">
        <v>72170.33</v>
      </c>
      <c r="E1110" s="195">
        <v>86870</v>
      </c>
      <c r="F1110" s="195">
        <v>88334.97</v>
      </c>
      <c r="G1110" s="195">
        <v>68813.55</v>
      </c>
      <c r="H1110" s="195">
        <v>61603.78</v>
      </c>
      <c r="I1110" s="195">
        <v>73944.89</v>
      </c>
    </row>
    <row r="1111" spans="1:9" x14ac:dyDescent="0.2">
      <c r="A1111" s="193">
        <v>1817962110</v>
      </c>
      <c r="B1111" s="193" t="s">
        <v>951</v>
      </c>
      <c r="C1111" s="195">
        <v>245119</v>
      </c>
      <c r="D1111" s="195">
        <v>189443.63</v>
      </c>
      <c r="E1111" s="195">
        <v>245119</v>
      </c>
      <c r="F1111" s="195">
        <v>228345.58</v>
      </c>
      <c r="G1111" s="195">
        <v>216625.39</v>
      </c>
      <c r="H1111" s="195">
        <v>197792.8</v>
      </c>
      <c r="I1111" s="195">
        <v>165445.79</v>
      </c>
    </row>
    <row r="1112" spans="1:9" x14ac:dyDescent="0.2">
      <c r="A1112" s="193">
        <v>1819950210</v>
      </c>
      <c r="B1112" s="193" t="s">
        <v>1248</v>
      </c>
      <c r="I1112" s="195">
        <v>40550.400000000001</v>
      </c>
    </row>
    <row r="1113" spans="1:9" x14ac:dyDescent="0.2">
      <c r="A1113" s="193">
        <v>1819951210</v>
      </c>
      <c r="B1113" s="193" t="s">
        <v>952</v>
      </c>
      <c r="C1113" s="195">
        <v>23055</v>
      </c>
      <c r="D1113" s="195">
        <v>10003.57</v>
      </c>
      <c r="E1113" s="195">
        <v>23055</v>
      </c>
      <c r="F1113" s="195">
        <v>22826.240000000002</v>
      </c>
      <c r="G1113" s="195">
        <v>13542.01</v>
      </c>
      <c r="H1113" s="195">
        <v>1153.8800000000001</v>
      </c>
      <c r="I1113" s="195">
        <v>40229.629999999997</v>
      </c>
    </row>
    <row r="1114" spans="1:9" x14ac:dyDescent="0.2">
      <c r="A1114" s="193">
        <v>1819999110</v>
      </c>
      <c r="B1114" s="193" t="s">
        <v>919</v>
      </c>
      <c r="C1114" s="195">
        <v>262002</v>
      </c>
      <c r="D1114" s="195">
        <v>194457.26</v>
      </c>
      <c r="E1114" s="195">
        <v>262002</v>
      </c>
      <c r="F1114" s="195">
        <v>229627.23</v>
      </c>
      <c r="G1114" s="195">
        <v>229041.55</v>
      </c>
      <c r="H1114" s="195">
        <v>155313.04999999999</v>
      </c>
      <c r="I1114" s="195">
        <v>100315.8</v>
      </c>
    </row>
    <row r="1115" spans="1:9" x14ac:dyDescent="0.2">
      <c r="A1115" s="193">
        <v>1819999210</v>
      </c>
      <c r="B1115" s="193" t="s">
        <v>1489</v>
      </c>
      <c r="C1115" s="195">
        <v>343842</v>
      </c>
      <c r="D1115" s="195">
        <v>222876.79</v>
      </c>
      <c r="E1115" s="195">
        <v>343842</v>
      </c>
      <c r="F1115" s="195">
        <v>322841.65000000002</v>
      </c>
      <c r="G1115" s="195">
        <v>450737.67</v>
      </c>
      <c r="H1115" s="195">
        <v>287273.48</v>
      </c>
      <c r="I1115" s="195">
        <v>233987.1</v>
      </c>
    </row>
    <row r="1116" spans="1:9" x14ac:dyDescent="0.2">
      <c r="A1116" s="193">
        <v>1819999780</v>
      </c>
      <c r="B1116" s="193" t="s">
        <v>1007</v>
      </c>
      <c r="C1116" s="195">
        <v>44120</v>
      </c>
      <c r="D1116" s="195">
        <v>42064</v>
      </c>
      <c r="E1116" s="195">
        <v>44120</v>
      </c>
      <c r="F1116" s="195">
        <v>5600</v>
      </c>
      <c r="G1116" s="195">
        <v>32971.1</v>
      </c>
      <c r="H1116" s="195">
        <v>13000</v>
      </c>
      <c r="I1116" s="195">
        <v>38100</v>
      </c>
    </row>
    <row r="1117" spans="1:9" x14ac:dyDescent="0.2">
      <c r="A1117" s="193">
        <v>1819999999</v>
      </c>
      <c r="B1117" s="193" t="s">
        <v>173</v>
      </c>
      <c r="D1117" s="195">
        <v>111064.19</v>
      </c>
    </row>
    <row r="1118" spans="1:9" x14ac:dyDescent="0.2">
      <c r="A1118" s="193">
        <v>1820000399</v>
      </c>
      <c r="B1118" s="193" t="s">
        <v>24</v>
      </c>
    </row>
    <row r="1119" spans="1:9" x14ac:dyDescent="0.2">
      <c r="A1119" s="193">
        <v>1822000110</v>
      </c>
      <c r="B1119" s="193" t="s">
        <v>1150</v>
      </c>
      <c r="D1119" s="195">
        <v>162.34</v>
      </c>
      <c r="F1119" s="195">
        <v>106645.57</v>
      </c>
      <c r="G1119" s="195">
        <v>107123.7</v>
      </c>
      <c r="H1119" s="195">
        <v>128968.87</v>
      </c>
    </row>
    <row r="1120" spans="1:9" x14ac:dyDescent="0.2">
      <c r="A1120" s="193">
        <v>1822000210</v>
      </c>
      <c r="B1120" s="193" t="s">
        <v>1150</v>
      </c>
    </row>
    <row r="1121" spans="1:9" x14ac:dyDescent="0.2">
      <c r="A1121" s="193">
        <v>1822000750</v>
      </c>
      <c r="B1121" s="193" t="s">
        <v>828</v>
      </c>
      <c r="C1121" s="195">
        <v>170000</v>
      </c>
      <c r="D1121" s="195">
        <v>125134.5</v>
      </c>
      <c r="E1121" s="195">
        <v>170000</v>
      </c>
      <c r="F1121" s="195">
        <v>159252.15</v>
      </c>
      <c r="G1121" s="195">
        <v>171591.6</v>
      </c>
      <c r="H1121" s="195">
        <v>151544.35999999999</v>
      </c>
    </row>
    <row r="1122" spans="1:9" x14ac:dyDescent="0.2">
      <c r="A1122" s="193">
        <v>1822000780</v>
      </c>
      <c r="B1122" s="193" t="s">
        <v>829</v>
      </c>
      <c r="C1122" s="195">
        <v>1875000</v>
      </c>
      <c r="D1122" s="195">
        <v>1331651.42</v>
      </c>
      <c r="E1122" s="195">
        <v>1875000</v>
      </c>
      <c r="F1122" s="195">
        <v>1822951.48</v>
      </c>
      <c r="G1122" s="195">
        <v>1598522.25</v>
      </c>
      <c r="H1122" s="195">
        <v>1701037.57</v>
      </c>
      <c r="I1122" s="195">
        <v>1286057.3600000001</v>
      </c>
    </row>
    <row r="1123" spans="1:9" x14ac:dyDescent="0.2">
      <c r="A1123" s="193">
        <v>1822000781</v>
      </c>
      <c r="B1123" s="193" t="s">
        <v>830</v>
      </c>
      <c r="C1123" s="195">
        <v>100000</v>
      </c>
      <c r="D1123" s="195">
        <v>15133.51</v>
      </c>
      <c r="E1123" s="195">
        <v>100000</v>
      </c>
      <c r="F1123" s="195">
        <v>68654.27</v>
      </c>
      <c r="G1123" s="195">
        <v>64711.09</v>
      </c>
      <c r="H1123" s="195">
        <v>55709.32</v>
      </c>
    </row>
    <row r="1124" spans="1:9" x14ac:dyDescent="0.2">
      <c r="A1124" s="193">
        <v>1822000782</v>
      </c>
      <c r="B1124" s="193" t="s">
        <v>831</v>
      </c>
      <c r="C1124" s="195">
        <v>789000</v>
      </c>
      <c r="D1124" s="195">
        <v>173865.48</v>
      </c>
      <c r="E1124" s="195">
        <v>789000</v>
      </c>
      <c r="F1124" s="195">
        <v>757351.91</v>
      </c>
      <c r="G1124" s="195">
        <v>793977.59</v>
      </c>
      <c r="H1124" s="195">
        <v>811904.28</v>
      </c>
    </row>
    <row r="1125" spans="1:9" x14ac:dyDescent="0.2">
      <c r="A1125" s="193">
        <v>1822000783</v>
      </c>
      <c r="B1125" s="193" t="s">
        <v>832</v>
      </c>
      <c r="C1125" s="195">
        <v>311000</v>
      </c>
      <c r="D1125" s="195">
        <v>94987.8</v>
      </c>
      <c r="E1125" s="195">
        <v>311000</v>
      </c>
      <c r="F1125" s="195">
        <v>304679.42</v>
      </c>
      <c r="G1125" s="195">
        <v>299705.8</v>
      </c>
      <c r="H1125" s="195">
        <v>284543.03000000003</v>
      </c>
    </row>
    <row r="1126" spans="1:9" x14ac:dyDescent="0.2">
      <c r="A1126" s="193">
        <v>1822000784</v>
      </c>
      <c r="B1126" s="193" t="s">
        <v>833</v>
      </c>
      <c r="C1126" s="195">
        <v>225000</v>
      </c>
      <c r="D1126" s="195">
        <v>133400</v>
      </c>
      <c r="E1126" s="195">
        <v>225000</v>
      </c>
      <c r="F1126" s="195">
        <v>221987.69</v>
      </c>
      <c r="G1126" s="195">
        <v>205734.35</v>
      </c>
      <c r="H1126" s="195">
        <v>219464.8</v>
      </c>
    </row>
    <row r="1127" spans="1:9" x14ac:dyDescent="0.2">
      <c r="A1127" s="193">
        <v>1822000785</v>
      </c>
      <c r="B1127" s="193" t="s">
        <v>834</v>
      </c>
      <c r="C1127" s="195">
        <v>10000</v>
      </c>
      <c r="D1127" s="195">
        <v>8907.32</v>
      </c>
      <c r="E1127" s="195">
        <v>10000</v>
      </c>
      <c r="F1127" s="195">
        <v>10749.88</v>
      </c>
      <c r="G1127" s="195">
        <v>10498.14</v>
      </c>
      <c r="H1127" s="195">
        <v>8053.41</v>
      </c>
    </row>
    <row r="1128" spans="1:9" x14ac:dyDescent="0.2">
      <c r="A1128" s="193">
        <v>1822000786</v>
      </c>
      <c r="B1128" s="193" t="s">
        <v>835</v>
      </c>
      <c r="C1128" s="195">
        <v>130000</v>
      </c>
      <c r="D1128" s="195">
        <v>14818.5</v>
      </c>
      <c r="E1128" s="195">
        <v>130000</v>
      </c>
      <c r="F1128" s="195">
        <v>118494.66</v>
      </c>
      <c r="G1128" s="195">
        <v>120994.51</v>
      </c>
      <c r="H1128" s="195">
        <v>106285.55</v>
      </c>
    </row>
    <row r="1129" spans="1:9" x14ac:dyDescent="0.2">
      <c r="A1129" s="193">
        <v>1822000788</v>
      </c>
      <c r="B1129" s="193" t="s">
        <v>174</v>
      </c>
      <c r="C1129" s="195">
        <v>210000</v>
      </c>
      <c r="D1129" s="195">
        <v>37349.9</v>
      </c>
      <c r="E1129" s="195">
        <v>210000</v>
      </c>
      <c r="F1129" s="195">
        <v>188563.07</v>
      </c>
      <c r="G1129" s="195">
        <v>258789</v>
      </c>
    </row>
    <row r="1130" spans="1:9" x14ac:dyDescent="0.2">
      <c r="A1130" s="193">
        <v>1822000822</v>
      </c>
      <c r="B1130" s="193" t="s">
        <v>836</v>
      </c>
      <c r="G1130" s="195">
        <v>105000</v>
      </c>
      <c r="H1130" s="195">
        <v>96000</v>
      </c>
      <c r="I1130" s="195">
        <v>96000</v>
      </c>
    </row>
    <row r="1131" spans="1:9" x14ac:dyDescent="0.2">
      <c r="A1131" s="193">
        <v>1822300780</v>
      </c>
      <c r="B1131" s="193" t="s">
        <v>837</v>
      </c>
      <c r="C1131" s="195">
        <v>560000</v>
      </c>
      <c r="D1131" s="195">
        <v>446354</v>
      </c>
      <c r="E1131" s="195">
        <v>400000</v>
      </c>
      <c r="F1131" s="195">
        <v>824298.11</v>
      </c>
      <c r="G1131" s="195">
        <v>962098.43</v>
      </c>
      <c r="H1131" s="195">
        <v>892753.69</v>
      </c>
      <c r="I1131" s="195">
        <v>1025361.78</v>
      </c>
    </row>
    <row r="1132" spans="1:9" x14ac:dyDescent="0.2">
      <c r="A1132" s="193">
        <v>1822300781</v>
      </c>
      <c r="B1132" s="193" t="s">
        <v>82</v>
      </c>
      <c r="C1132" s="195">
        <v>150000</v>
      </c>
      <c r="D1132" s="195">
        <v>46567.3</v>
      </c>
      <c r="E1132" s="195">
        <v>200000</v>
      </c>
      <c r="F1132" s="195">
        <v>126565</v>
      </c>
    </row>
    <row r="1133" spans="1:9" x14ac:dyDescent="0.2">
      <c r="A1133" s="193">
        <v>1822300782</v>
      </c>
      <c r="B1133" s="193" t="s">
        <v>1461</v>
      </c>
      <c r="F1133" s="195">
        <v>30000</v>
      </c>
    </row>
    <row r="1134" spans="1:9" x14ac:dyDescent="0.2">
      <c r="A1134" s="193">
        <v>1822800780</v>
      </c>
      <c r="B1134" s="193" t="s">
        <v>838</v>
      </c>
      <c r="C1134" s="195">
        <v>110000</v>
      </c>
      <c r="E1134" s="195">
        <v>100000</v>
      </c>
      <c r="F1134" s="195">
        <v>100000</v>
      </c>
      <c r="G1134" s="195">
        <v>102012.54</v>
      </c>
      <c r="H1134" s="195">
        <v>79119.039999999994</v>
      </c>
      <c r="I1134" s="195">
        <v>52355</v>
      </c>
    </row>
    <row r="1135" spans="1:9" x14ac:dyDescent="0.2">
      <c r="A1135" s="193">
        <v>1823000110</v>
      </c>
      <c r="B1135" s="193" t="s">
        <v>523</v>
      </c>
      <c r="C1135" s="195">
        <v>578080</v>
      </c>
      <c r="D1135" s="195">
        <v>530012.98</v>
      </c>
      <c r="E1135" s="195">
        <v>578080</v>
      </c>
      <c r="F1135" s="195">
        <v>746931.81</v>
      </c>
      <c r="G1135" s="195">
        <v>761137.46</v>
      </c>
      <c r="H1135" s="195">
        <v>725717.89</v>
      </c>
      <c r="I1135" s="195">
        <v>622720.02</v>
      </c>
    </row>
    <row r="1136" spans="1:9" x14ac:dyDescent="0.2">
      <c r="A1136" s="193">
        <v>1823000210</v>
      </c>
      <c r="B1136" s="193" t="s">
        <v>244</v>
      </c>
      <c r="C1136" s="195">
        <v>52768</v>
      </c>
      <c r="D1136" s="195">
        <v>43671.94</v>
      </c>
      <c r="E1136" s="195">
        <v>52768</v>
      </c>
      <c r="F1136" s="195">
        <v>56762.62</v>
      </c>
      <c r="G1136" s="195">
        <v>8027.64</v>
      </c>
    </row>
    <row r="1137" spans="1:9" x14ac:dyDescent="0.2">
      <c r="A1137" s="193">
        <v>1823000430</v>
      </c>
      <c r="B1137" s="193" t="s">
        <v>839</v>
      </c>
      <c r="C1137" s="195">
        <v>65000</v>
      </c>
      <c r="D1137" s="195">
        <v>37889.83</v>
      </c>
      <c r="E1137" s="195">
        <v>65000</v>
      </c>
      <c r="F1137" s="195">
        <v>64567.75</v>
      </c>
      <c r="G1137" s="195">
        <v>55658.86</v>
      </c>
      <c r="H1137" s="195">
        <v>68041.81</v>
      </c>
      <c r="I1137" s="195">
        <v>68674.289999999994</v>
      </c>
    </row>
    <row r="1138" spans="1:9" x14ac:dyDescent="0.2">
      <c r="A1138" s="193">
        <v>1823000470</v>
      </c>
      <c r="B1138" s="193" t="s">
        <v>840</v>
      </c>
      <c r="F1138" s="195">
        <v>101</v>
      </c>
      <c r="G1138" s="195">
        <v>524.79999999999995</v>
      </c>
      <c r="H1138" s="195">
        <v>640.89</v>
      </c>
      <c r="I1138" s="195">
        <v>507.03</v>
      </c>
    </row>
    <row r="1139" spans="1:9" x14ac:dyDescent="0.2">
      <c r="A1139" s="193">
        <v>1823000520</v>
      </c>
      <c r="B1139" s="193" t="s">
        <v>841</v>
      </c>
      <c r="C1139" s="195">
        <v>16000</v>
      </c>
      <c r="D1139" s="195">
        <v>11928</v>
      </c>
      <c r="E1139" s="195">
        <v>16000</v>
      </c>
      <c r="F1139" s="195">
        <v>15934.19</v>
      </c>
      <c r="G1139" s="195">
        <v>16272</v>
      </c>
      <c r="H1139" s="195">
        <v>10978.47</v>
      </c>
      <c r="I1139" s="195">
        <v>15885.4</v>
      </c>
    </row>
    <row r="1140" spans="1:9" x14ac:dyDescent="0.2">
      <c r="A1140" s="193">
        <v>1823000522</v>
      </c>
      <c r="B1140" s="193" t="s">
        <v>842</v>
      </c>
      <c r="F1140" s="195">
        <v>924.4</v>
      </c>
      <c r="H1140" s="195">
        <v>130</v>
      </c>
      <c r="I1140" s="195">
        <v>130</v>
      </c>
    </row>
    <row r="1141" spans="1:9" x14ac:dyDescent="0.2">
      <c r="A1141" s="193">
        <v>1823000540</v>
      </c>
      <c r="B1141" s="193" t="s">
        <v>843</v>
      </c>
      <c r="C1141" s="195">
        <v>3500</v>
      </c>
      <c r="D1141" s="195">
        <v>1706.01</v>
      </c>
      <c r="E1141" s="195">
        <v>6000</v>
      </c>
      <c r="F1141" s="195">
        <v>7216.93</v>
      </c>
      <c r="G1141" s="195">
        <v>7695.89</v>
      </c>
      <c r="H1141" s="195">
        <v>9839.7900000000009</v>
      </c>
      <c r="I1141" s="195">
        <v>7915.41</v>
      </c>
    </row>
    <row r="1142" spans="1:9" x14ac:dyDescent="0.2">
      <c r="A1142" s="193">
        <v>1823000560</v>
      </c>
      <c r="B1142" s="193" t="s">
        <v>844</v>
      </c>
      <c r="C1142" s="195">
        <v>1500</v>
      </c>
      <c r="D1142" s="195">
        <v>633.63</v>
      </c>
      <c r="E1142" s="195">
        <v>1500</v>
      </c>
      <c r="F1142" s="195">
        <v>1113.5999999999999</v>
      </c>
      <c r="G1142" s="195">
        <v>1754</v>
      </c>
      <c r="H1142" s="195">
        <v>1884.64</v>
      </c>
      <c r="I1142" s="195">
        <v>13099</v>
      </c>
    </row>
    <row r="1143" spans="1:9" x14ac:dyDescent="0.2">
      <c r="A1143" s="193">
        <v>1823000720</v>
      </c>
      <c r="B1143" s="193" t="s">
        <v>175</v>
      </c>
    </row>
    <row r="1144" spans="1:9" x14ac:dyDescent="0.2">
      <c r="A1144" s="193">
        <v>1823000731</v>
      </c>
      <c r="B1144" s="193" t="s">
        <v>1151</v>
      </c>
      <c r="C1144" s="195">
        <v>18000</v>
      </c>
      <c r="D1144" s="195">
        <v>2790.96</v>
      </c>
      <c r="E1144" s="195">
        <v>20000</v>
      </c>
      <c r="F1144" s="195">
        <v>17535.59</v>
      </c>
      <c r="G1144" s="195">
        <v>20704.25</v>
      </c>
      <c r="H1144" s="195">
        <v>21703.32</v>
      </c>
    </row>
    <row r="1145" spans="1:9" x14ac:dyDescent="0.2">
      <c r="A1145" s="193">
        <v>1823000740</v>
      </c>
      <c r="B1145" s="193" t="s">
        <v>845</v>
      </c>
      <c r="C1145" s="195">
        <v>6000</v>
      </c>
      <c r="D1145" s="195">
        <v>3426</v>
      </c>
      <c r="E1145" s="195">
        <v>6000</v>
      </c>
      <c r="F1145" s="195">
        <v>6004</v>
      </c>
      <c r="G1145" s="195">
        <v>6001.86</v>
      </c>
      <c r="H1145" s="195">
        <v>14900</v>
      </c>
      <c r="I1145" s="195">
        <v>2435.0100000000002</v>
      </c>
    </row>
    <row r="1146" spans="1:9" x14ac:dyDescent="0.2">
      <c r="A1146" s="193">
        <v>1823000750</v>
      </c>
      <c r="B1146" s="193" t="s">
        <v>846</v>
      </c>
      <c r="C1146" s="195">
        <v>16000</v>
      </c>
      <c r="D1146" s="195">
        <v>17550</v>
      </c>
      <c r="E1146" s="195">
        <v>16000</v>
      </c>
      <c r="F1146" s="195">
        <v>18017</v>
      </c>
      <c r="G1146" s="195">
        <v>18898.53</v>
      </c>
      <c r="H1146" s="195">
        <v>12057.65</v>
      </c>
      <c r="I1146" s="195">
        <v>14999.32</v>
      </c>
    </row>
    <row r="1147" spans="1:9" x14ac:dyDescent="0.2">
      <c r="A1147" s="193">
        <v>1823000780</v>
      </c>
      <c r="B1147" s="193" t="s">
        <v>580</v>
      </c>
      <c r="C1147" s="195">
        <v>14000</v>
      </c>
      <c r="D1147" s="195">
        <v>8678</v>
      </c>
      <c r="E1147" s="195">
        <v>14000</v>
      </c>
      <c r="F1147" s="195">
        <v>15285</v>
      </c>
      <c r="G1147" s="195">
        <v>14122.51</v>
      </c>
      <c r="H1147" s="195">
        <v>14347.79</v>
      </c>
      <c r="I1147" s="195">
        <v>7600</v>
      </c>
    </row>
    <row r="1148" spans="1:9" x14ac:dyDescent="0.2">
      <c r="A1148" s="193">
        <v>1823000910</v>
      </c>
      <c r="B1148" s="193" t="s">
        <v>738</v>
      </c>
    </row>
    <row r="1149" spans="1:9" x14ac:dyDescent="0.2">
      <c r="A1149" s="193">
        <v>1823000930</v>
      </c>
      <c r="B1149" s="193" t="s">
        <v>847</v>
      </c>
      <c r="C1149" s="195">
        <v>1500</v>
      </c>
      <c r="D1149" s="195">
        <v>563.42999999999995</v>
      </c>
      <c r="E1149" s="195">
        <v>1500</v>
      </c>
      <c r="F1149" s="195">
        <v>3160</v>
      </c>
      <c r="G1149" s="195">
        <v>1676.15</v>
      </c>
      <c r="H1149" s="195">
        <v>1700</v>
      </c>
      <c r="I1149" s="195">
        <v>1679.49</v>
      </c>
    </row>
    <row r="1150" spans="1:9" x14ac:dyDescent="0.2">
      <c r="A1150" s="193">
        <v>1823010110</v>
      </c>
      <c r="B1150" s="193" t="s">
        <v>83</v>
      </c>
      <c r="F1150" s="195">
        <v>10055.56</v>
      </c>
    </row>
    <row r="1151" spans="1:9" x14ac:dyDescent="0.2">
      <c r="A1151" s="193">
        <v>1824000110</v>
      </c>
      <c r="B1151" s="193" t="s">
        <v>176</v>
      </c>
    </row>
    <row r="1152" spans="1:9" x14ac:dyDescent="0.2">
      <c r="A1152" s="193">
        <v>1824000430</v>
      </c>
      <c r="B1152" s="193" t="s">
        <v>848</v>
      </c>
      <c r="E1152" s="195">
        <v>15000</v>
      </c>
    </row>
    <row r="1153" spans="1:9" x14ac:dyDescent="0.2">
      <c r="A1153" s="193">
        <v>1824000810</v>
      </c>
      <c r="B1153" s="193" t="s">
        <v>849</v>
      </c>
      <c r="C1153" s="195">
        <v>3430000</v>
      </c>
      <c r="D1153" s="195">
        <v>3430000</v>
      </c>
      <c r="E1153" s="195">
        <v>3430000</v>
      </c>
      <c r="F1153" s="195">
        <v>3229999.96</v>
      </c>
      <c r="G1153" s="195">
        <v>2910000</v>
      </c>
      <c r="H1153" s="195">
        <v>3100823.99</v>
      </c>
      <c r="I1153" s="195">
        <v>3194000</v>
      </c>
    </row>
    <row r="1154" spans="1:9" x14ac:dyDescent="0.2">
      <c r="A1154" s="193">
        <v>1824000811</v>
      </c>
      <c r="B1154" s="193" t="s">
        <v>177</v>
      </c>
      <c r="C1154" s="195">
        <v>190167</v>
      </c>
      <c r="D1154" s="195">
        <v>190167</v>
      </c>
      <c r="E1154" s="195">
        <v>190167</v>
      </c>
      <c r="F1154" s="195">
        <v>190619</v>
      </c>
      <c r="G1154" s="195">
        <v>64163</v>
      </c>
    </row>
    <row r="1155" spans="1:9" x14ac:dyDescent="0.2">
      <c r="A1155" s="193">
        <v>1824000812</v>
      </c>
      <c r="B1155" s="193" t="s">
        <v>850</v>
      </c>
      <c r="C1155" s="195">
        <v>160000</v>
      </c>
      <c r="D1155" s="195">
        <v>159996</v>
      </c>
      <c r="E1155" s="195">
        <v>80000</v>
      </c>
      <c r="F1155" s="195">
        <v>80000</v>
      </c>
      <c r="G1155" s="195">
        <v>80000</v>
      </c>
      <c r="H1155" s="195">
        <v>80000</v>
      </c>
      <c r="I1155" s="195">
        <v>80000</v>
      </c>
    </row>
    <row r="1156" spans="1:9" x14ac:dyDescent="0.2">
      <c r="A1156" s="193">
        <v>1824000813</v>
      </c>
      <c r="B1156" s="193" t="s">
        <v>178</v>
      </c>
    </row>
    <row r="1157" spans="1:9" x14ac:dyDescent="0.2">
      <c r="A1157" s="193">
        <v>1824000814</v>
      </c>
      <c r="B1157" s="193" t="s">
        <v>851</v>
      </c>
      <c r="C1157" s="195">
        <v>80000</v>
      </c>
      <c r="D1157" s="195">
        <v>80000</v>
      </c>
      <c r="E1157" s="195">
        <v>80000</v>
      </c>
      <c r="F1157" s="195">
        <v>79992</v>
      </c>
      <c r="G1157" s="195">
        <v>80000</v>
      </c>
      <c r="H1157" s="195">
        <v>80000</v>
      </c>
      <c r="I1157" s="195">
        <v>80000</v>
      </c>
    </row>
    <row r="1158" spans="1:9" x14ac:dyDescent="0.2">
      <c r="A1158" s="193">
        <v>1824000815</v>
      </c>
      <c r="B1158" s="193" t="s">
        <v>179</v>
      </c>
    </row>
    <row r="1159" spans="1:9" x14ac:dyDescent="0.2">
      <c r="A1159" s="193">
        <v>1824000816</v>
      </c>
      <c r="B1159" s="193" t="s">
        <v>1166</v>
      </c>
      <c r="C1159" s="195">
        <v>60000</v>
      </c>
      <c r="D1159" s="195">
        <v>60000</v>
      </c>
      <c r="E1159" s="195">
        <v>60000</v>
      </c>
      <c r="G1159" s="195">
        <v>60000</v>
      </c>
    </row>
    <row r="1160" spans="1:9" x14ac:dyDescent="0.2">
      <c r="A1160" s="193">
        <v>1824000930</v>
      </c>
      <c r="B1160" s="193" t="s">
        <v>180</v>
      </c>
    </row>
    <row r="1161" spans="1:9" x14ac:dyDescent="0.2">
      <c r="A1161" s="193">
        <v>1825200110</v>
      </c>
      <c r="B1161" s="193" t="s">
        <v>523</v>
      </c>
      <c r="C1161" s="195">
        <v>2394392</v>
      </c>
      <c r="D1161" s="195">
        <v>1832134.64</v>
      </c>
      <c r="E1161" s="195">
        <v>2394392</v>
      </c>
      <c r="F1161" s="195">
        <v>2254557.59</v>
      </c>
      <c r="G1161" s="195">
        <v>2102646.35</v>
      </c>
      <c r="H1161" s="195">
        <v>2113474.29</v>
      </c>
      <c r="I1161" s="195">
        <v>1986420.31</v>
      </c>
    </row>
    <row r="1162" spans="1:9" x14ac:dyDescent="0.2">
      <c r="A1162" s="193">
        <v>1825200210</v>
      </c>
      <c r="B1162" s="193" t="s">
        <v>535</v>
      </c>
      <c r="C1162" s="195">
        <v>845676</v>
      </c>
      <c r="D1162" s="195">
        <v>755033.16</v>
      </c>
      <c r="E1162" s="195">
        <v>845676</v>
      </c>
      <c r="F1162" s="195">
        <v>899635.03</v>
      </c>
      <c r="G1162" s="195">
        <v>1033168</v>
      </c>
      <c r="H1162" s="195">
        <v>1091058.79</v>
      </c>
      <c r="I1162" s="195">
        <v>1184201.07</v>
      </c>
    </row>
    <row r="1163" spans="1:9" x14ac:dyDescent="0.2">
      <c r="A1163" s="193">
        <v>1825200420</v>
      </c>
      <c r="B1163" s="193" t="s">
        <v>852</v>
      </c>
      <c r="C1163" s="195">
        <v>30000</v>
      </c>
      <c r="D1163" s="195">
        <v>19554.310000000001</v>
      </c>
      <c r="E1163" s="195">
        <v>30000</v>
      </c>
      <c r="F1163" s="195">
        <v>27551.49</v>
      </c>
      <c r="G1163" s="195">
        <v>25267.5</v>
      </c>
      <c r="H1163" s="195">
        <v>36421.910000000003</v>
      </c>
      <c r="I1163" s="195">
        <v>18982.2</v>
      </c>
    </row>
    <row r="1164" spans="1:9" x14ac:dyDescent="0.2">
      <c r="A1164" s="193">
        <v>1825200430</v>
      </c>
      <c r="B1164" s="193" t="s">
        <v>853</v>
      </c>
      <c r="C1164" s="195">
        <v>75000</v>
      </c>
      <c r="D1164" s="195">
        <v>45117.86</v>
      </c>
      <c r="E1164" s="195">
        <v>75000</v>
      </c>
      <c r="F1164" s="195">
        <v>83990.15</v>
      </c>
      <c r="G1164" s="195">
        <v>88836.44</v>
      </c>
      <c r="H1164" s="195">
        <v>88084.26</v>
      </c>
      <c r="I1164" s="195">
        <v>62337.63</v>
      </c>
    </row>
    <row r="1165" spans="1:9" x14ac:dyDescent="0.2">
      <c r="A1165" s="193">
        <v>1825200433</v>
      </c>
      <c r="B1165" s="193" t="s">
        <v>854</v>
      </c>
      <c r="C1165" s="195">
        <v>8000</v>
      </c>
      <c r="E1165" s="195">
        <v>8000</v>
      </c>
      <c r="F1165" s="195">
        <v>5270</v>
      </c>
      <c r="G1165" s="195">
        <v>6793.31</v>
      </c>
      <c r="H1165" s="195">
        <v>4528.45</v>
      </c>
      <c r="I1165" s="195">
        <v>5442.21</v>
      </c>
    </row>
    <row r="1166" spans="1:9" x14ac:dyDescent="0.2">
      <c r="A1166" s="193">
        <v>1825200450</v>
      </c>
      <c r="B1166" s="193" t="s">
        <v>855</v>
      </c>
      <c r="C1166" s="195">
        <v>7000</v>
      </c>
      <c r="E1166" s="195">
        <v>12500</v>
      </c>
      <c r="F1166" s="195">
        <v>4956</v>
      </c>
      <c r="G1166" s="195">
        <v>9274</v>
      </c>
      <c r="H1166" s="195">
        <v>7000</v>
      </c>
      <c r="I1166" s="195">
        <v>6552.7</v>
      </c>
    </row>
    <row r="1167" spans="1:9" x14ac:dyDescent="0.2">
      <c r="A1167" s="193">
        <v>1825200470</v>
      </c>
      <c r="B1167" s="193" t="s">
        <v>856</v>
      </c>
      <c r="C1167" s="195">
        <v>1000</v>
      </c>
      <c r="D1167" s="195">
        <v>1000</v>
      </c>
      <c r="E1167" s="195">
        <v>1000</v>
      </c>
      <c r="F1167" s="195">
        <v>1374.81</v>
      </c>
      <c r="G1167" s="195">
        <v>2460.87</v>
      </c>
      <c r="H1167" s="195">
        <v>1526</v>
      </c>
      <c r="I1167" s="195">
        <v>947.01</v>
      </c>
    </row>
    <row r="1168" spans="1:9" x14ac:dyDescent="0.2">
      <c r="A1168" s="193">
        <v>1825200512</v>
      </c>
      <c r="B1168" s="193" t="s">
        <v>857</v>
      </c>
      <c r="C1168" s="195">
        <v>40000</v>
      </c>
      <c r="D1168" s="195">
        <v>25962</v>
      </c>
      <c r="E1168" s="195">
        <v>60000</v>
      </c>
      <c r="F1168" s="195">
        <v>25000</v>
      </c>
      <c r="G1168" s="195">
        <v>32682</v>
      </c>
      <c r="H1168" s="195">
        <v>29610</v>
      </c>
      <c r="I1168" s="195">
        <v>56712.01</v>
      </c>
    </row>
    <row r="1169" spans="1:9" x14ac:dyDescent="0.2">
      <c r="A1169" s="193">
        <v>1825200520</v>
      </c>
      <c r="B1169" s="193" t="s">
        <v>858</v>
      </c>
      <c r="C1169" s="195">
        <v>10000</v>
      </c>
      <c r="D1169" s="195">
        <v>410</v>
      </c>
      <c r="E1169" s="195">
        <v>15000</v>
      </c>
      <c r="F1169" s="195">
        <v>10000</v>
      </c>
      <c r="G1169" s="195">
        <v>15000</v>
      </c>
      <c r="H1169" s="195">
        <v>15000</v>
      </c>
      <c r="I1169" s="195">
        <v>10000</v>
      </c>
    </row>
    <row r="1170" spans="1:9" x14ac:dyDescent="0.2">
      <c r="A1170" s="193">
        <v>1825200540</v>
      </c>
      <c r="B1170" s="193" t="s">
        <v>859</v>
      </c>
      <c r="C1170" s="195">
        <v>6500</v>
      </c>
      <c r="D1170" s="195">
        <v>3577.48</v>
      </c>
      <c r="E1170" s="195">
        <v>8000</v>
      </c>
      <c r="F1170" s="195">
        <v>6813.05</v>
      </c>
      <c r="G1170" s="195">
        <v>7606.88</v>
      </c>
      <c r="H1170" s="195">
        <v>20825.22</v>
      </c>
      <c r="I1170" s="195">
        <v>12189.21</v>
      </c>
    </row>
    <row r="1171" spans="1:9" x14ac:dyDescent="0.2">
      <c r="A1171" s="193">
        <v>1825200550</v>
      </c>
      <c r="B1171" s="193" t="s">
        <v>860</v>
      </c>
      <c r="C1171" s="195">
        <v>30000</v>
      </c>
      <c r="D1171" s="195">
        <v>20004</v>
      </c>
      <c r="E1171" s="195">
        <v>30000</v>
      </c>
      <c r="F1171" s="195">
        <v>29705</v>
      </c>
      <c r="G1171" s="195">
        <v>35042.99</v>
      </c>
      <c r="H1171" s="195">
        <v>40000</v>
      </c>
      <c r="I1171" s="195">
        <v>31513.4</v>
      </c>
    </row>
    <row r="1172" spans="1:9" x14ac:dyDescent="0.2">
      <c r="A1172" s="193">
        <v>1825200560</v>
      </c>
      <c r="B1172" s="193" t="s">
        <v>861</v>
      </c>
      <c r="C1172" s="195">
        <v>14000</v>
      </c>
      <c r="D1172" s="195">
        <v>8386.7099999999991</v>
      </c>
      <c r="E1172" s="195">
        <v>14000</v>
      </c>
      <c r="F1172" s="195">
        <v>15558.09</v>
      </c>
      <c r="G1172" s="195">
        <v>15417.57</v>
      </c>
      <c r="H1172" s="195">
        <v>14415.5</v>
      </c>
      <c r="I1172" s="195">
        <v>12114</v>
      </c>
    </row>
    <row r="1173" spans="1:9" x14ac:dyDescent="0.2">
      <c r="A1173" s="193">
        <v>1825200720</v>
      </c>
      <c r="B1173" s="193" t="s">
        <v>862</v>
      </c>
      <c r="C1173" s="195">
        <v>5000</v>
      </c>
      <c r="D1173" s="195">
        <v>2596</v>
      </c>
      <c r="E1173" s="195">
        <v>5000</v>
      </c>
      <c r="F1173" s="195">
        <v>2500</v>
      </c>
      <c r="G1173" s="195">
        <v>5000</v>
      </c>
      <c r="H1173" s="195">
        <v>3066</v>
      </c>
    </row>
    <row r="1174" spans="1:9" x14ac:dyDescent="0.2">
      <c r="A1174" s="193">
        <v>1825200732</v>
      </c>
      <c r="B1174" s="193" t="s">
        <v>863</v>
      </c>
      <c r="C1174" s="195">
        <v>25000</v>
      </c>
      <c r="D1174" s="195">
        <v>13667</v>
      </c>
      <c r="E1174" s="195">
        <v>40000</v>
      </c>
      <c r="F1174" s="195">
        <v>26055</v>
      </c>
      <c r="G1174" s="195">
        <v>48027</v>
      </c>
      <c r="H1174" s="195">
        <v>49361</v>
      </c>
      <c r="I1174" s="195">
        <v>2000</v>
      </c>
    </row>
    <row r="1175" spans="1:9" x14ac:dyDescent="0.2">
      <c r="A1175" s="193">
        <v>1825200740</v>
      </c>
      <c r="B1175" s="193" t="s">
        <v>737</v>
      </c>
      <c r="C1175" s="195">
        <v>15000</v>
      </c>
      <c r="D1175" s="195">
        <v>11000</v>
      </c>
      <c r="E1175" s="195">
        <v>15000</v>
      </c>
      <c r="F1175" s="195">
        <v>19918</v>
      </c>
      <c r="G1175" s="195">
        <v>18931</v>
      </c>
      <c r="H1175" s="195">
        <v>17500</v>
      </c>
    </row>
    <row r="1176" spans="1:9" x14ac:dyDescent="0.2">
      <c r="A1176" s="193">
        <v>1825200750</v>
      </c>
      <c r="B1176" s="193" t="s">
        <v>864</v>
      </c>
      <c r="C1176" s="195">
        <v>90000</v>
      </c>
      <c r="D1176" s="195">
        <v>32448.240000000002</v>
      </c>
      <c r="E1176" s="195">
        <v>103000</v>
      </c>
      <c r="F1176" s="195">
        <v>202061.43</v>
      </c>
      <c r="G1176" s="195">
        <v>218042.37</v>
      </c>
      <c r="H1176" s="195">
        <v>214293.01</v>
      </c>
      <c r="I1176" s="195">
        <v>212480.06</v>
      </c>
    </row>
    <row r="1177" spans="1:9" x14ac:dyDescent="0.2">
      <c r="A1177" s="193">
        <v>1825200780</v>
      </c>
      <c r="B1177" s="193" t="s">
        <v>865</v>
      </c>
      <c r="C1177" s="195">
        <v>67000</v>
      </c>
      <c r="D1177" s="195">
        <v>21925</v>
      </c>
      <c r="E1177" s="195">
        <v>67000</v>
      </c>
      <c r="F1177" s="195">
        <v>46142</v>
      </c>
      <c r="G1177" s="195">
        <v>60682.400000000001</v>
      </c>
      <c r="H1177" s="195">
        <v>45843.22</v>
      </c>
      <c r="I1177" s="195">
        <v>57440</v>
      </c>
    </row>
    <row r="1178" spans="1:9" x14ac:dyDescent="0.2">
      <c r="A1178" s="193">
        <v>1825200785</v>
      </c>
      <c r="B1178" s="193" t="s">
        <v>866</v>
      </c>
      <c r="C1178" s="195">
        <v>160000</v>
      </c>
      <c r="E1178" s="195">
        <v>160000</v>
      </c>
      <c r="F1178" s="195">
        <v>37340</v>
      </c>
      <c r="G1178" s="195">
        <v>77320</v>
      </c>
      <c r="H1178" s="195">
        <v>97512</v>
      </c>
      <c r="I1178" s="195">
        <v>85981</v>
      </c>
    </row>
    <row r="1179" spans="1:9" x14ac:dyDescent="0.2">
      <c r="A1179" s="193">
        <v>1825200786</v>
      </c>
      <c r="B1179" s="193" t="s">
        <v>867</v>
      </c>
      <c r="C1179" s="195">
        <v>30000</v>
      </c>
      <c r="D1179" s="195">
        <v>37683</v>
      </c>
      <c r="E1179" s="195">
        <v>70000</v>
      </c>
      <c r="F1179" s="195">
        <v>47148</v>
      </c>
      <c r="G1179" s="195">
        <v>64997</v>
      </c>
      <c r="H1179" s="195">
        <v>100659</v>
      </c>
      <c r="I1179" s="195">
        <v>85760</v>
      </c>
    </row>
    <row r="1180" spans="1:9" x14ac:dyDescent="0.2">
      <c r="A1180" s="193">
        <v>1825200910</v>
      </c>
      <c r="B1180" s="193" t="s">
        <v>84</v>
      </c>
      <c r="G1180" s="195">
        <v>180000</v>
      </c>
    </row>
    <row r="1181" spans="1:9" x14ac:dyDescent="0.2">
      <c r="A1181" s="193">
        <v>1825200930</v>
      </c>
      <c r="B1181" s="193" t="s">
        <v>868</v>
      </c>
      <c r="C1181" s="195">
        <v>20000</v>
      </c>
      <c r="D1181" s="195">
        <v>3500</v>
      </c>
      <c r="E1181" s="195">
        <v>40000</v>
      </c>
      <c r="F1181" s="195">
        <v>4500</v>
      </c>
      <c r="G1181" s="195">
        <v>40000</v>
      </c>
      <c r="H1181" s="195">
        <v>49051.55</v>
      </c>
      <c r="I1181" s="195">
        <v>27277.4</v>
      </c>
    </row>
    <row r="1182" spans="1:9" x14ac:dyDescent="0.2">
      <c r="A1182" s="193">
        <v>1826200430</v>
      </c>
      <c r="B1182" s="193" t="s">
        <v>869</v>
      </c>
      <c r="G1182" s="195">
        <v>153.97999999999999</v>
      </c>
      <c r="H1182" s="195">
        <v>152.76</v>
      </c>
      <c r="I1182" s="195">
        <v>179.76</v>
      </c>
    </row>
    <row r="1183" spans="1:9" x14ac:dyDescent="0.2">
      <c r="A1183" s="193">
        <v>1826200432</v>
      </c>
      <c r="B1183" s="193" t="s">
        <v>870</v>
      </c>
    </row>
    <row r="1184" spans="1:9" x14ac:dyDescent="0.2">
      <c r="A1184" s="193">
        <v>1826200540</v>
      </c>
      <c r="B1184" s="193" t="s">
        <v>181</v>
      </c>
    </row>
    <row r="1185" spans="1:9" x14ac:dyDescent="0.2">
      <c r="A1185" s="193">
        <v>1826200780</v>
      </c>
      <c r="B1185" s="193" t="s">
        <v>871</v>
      </c>
    </row>
    <row r="1186" spans="1:9" x14ac:dyDescent="0.2">
      <c r="A1186" s="193">
        <v>1826200830</v>
      </c>
      <c r="B1186" s="193" t="s">
        <v>872</v>
      </c>
      <c r="C1186" s="195">
        <v>45000</v>
      </c>
      <c r="D1186" s="195">
        <v>45000</v>
      </c>
      <c r="E1186" s="195">
        <v>45000</v>
      </c>
      <c r="F1186" s="195">
        <v>45000</v>
      </c>
      <c r="G1186" s="195">
        <v>45000</v>
      </c>
      <c r="H1186" s="195">
        <v>44999.99</v>
      </c>
      <c r="I1186" s="195">
        <v>25000</v>
      </c>
    </row>
    <row r="1187" spans="1:9" x14ac:dyDescent="0.2">
      <c r="A1187" s="193">
        <v>1826400410</v>
      </c>
      <c r="B1187" s="193" t="s">
        <v>873</v>
      </c>
      <c r="C1187" s="195">
        <v>100000</v>
      </c>
      <c r="D1187" s="195">
        <v>145612.46</v>
      </c>
      <c r="E1187" s="195">
        <v>171000</v>
      </c>
      <c r="F1187" s="195">
        <v>206428.09</v>
      </c>
      <c r="G1187" s="195">
        <v>170656</v>
      </c>
      <c r="H1187" s="195">
        <v>170094.06</v>
      </c>
      <c r="I1187" s="195">
        <v>62533.81</v>
      </c>
    </row>
    <row r="1188" spans="1:9" x14ac:dyDescent="0.2">
      <c r="A1188" s="193">
        <v>1826400430</v>
      </c>
      <c r="B1188" s="193" t="s">
        <v>874</v>
      </c>
      <c r="C1188" s="195">
        <v>50000</v>
      </c>
      <c r="D1188" s="195">
        <v>30741.34</v>
      </c>
      <c r="E1188" s="195">
        <v>50000</v>
      </c>
      <c r="F1188" s="195">
        <v>60661.96</v>
      </c>
      <c r="G1188" s="195">
        <v>17300</v>
      </c>
      <c r="H1188" s="195">
        <v>52435.4</v>
      </c>
    </row>
    <row r="1189" spans="1:9" x14ac:dyDescent="0.2">
      <c r="A1189" s="193">
        <v>1826400540</v>
      </c>
      <c r="B1189" s="193" t="s">
        <v>875</v>
      </c>
      <c r="C1189" s="195">
        <v>4200</v>
      </c>
      <c r="D1189" s="195">
        <v>1501.31</v>
      </c>
      <c r="E1189" s="195">
        <v>4200</v>
      </c>
      <c r="F1189" s="195">
        <v>3124.6</v>
      </c>
      <c r="G1189" s="195">
        <v>3351.71</v>
      </c>
      <c r="H1189" s="195">
        <v>3356.57</v>
      </c>
      <c r="I1189" s="195">
        <v>4772.1499999999996</v>
      </c>
    </row>
    <row r="1190" spans="1:9" x14ac:dyDescent="0.2">
      <c r="A1190" s="193">
        <v>1826500780</v>
      </c>
      <c r="B1190" s="193" t="s">
        <v>876</v>
      </c>
      <c r="C1190" s="195">
        <v>40000</v>
      </c>
      <c r="D1190" s="195">
        <v>19433.02</v>
      </c>
      <c r="E1190" s="195">
        <v>40000</v>
      </c>
      <c r="F1190" s="195">
        <v>43561.36</v>
      </c>
      <c r="G1190" s="195">
        <v>26148.77</v>
      </c>
      <c r="H1190" s="195">
        <v>19200.099999999999</v>
      </c>
      <c r="I1190" s="195">
        <v>14843.56</v>
      </c>
    </row>
    <row r="1191" spans="1:9" x14ac:dyDescent="0.2">
      <c r="A1191" s="193">
        <v>1829000780</v>
      </c>
      <c r="B1191" s="193" t="s">
        <v>877</v>
      </c>
    </row>
    <row r="1192" spans="1:9" x14ac:dyDescent="0.2">
      <c r="A1192" s="193">
        <v>1829200750</v>
      </c>
      <c r="B1192" s="193" t="s">
        <v>878</v>
      </c>
      <c r="C1192" s="195">
        <v>900000</v>
      </c>
      <c r="D1192" s="195">
        <v>521541</v>
      </c>
      <c r="E1192" s="195">
        <v>1250000</v>
      </c>
      <c r="F1192" s="195">
        <v>1118714</v>
      </c>
      <c r="G1192" s="195">
        <v>1351175</v>
      </c>
      <c r="H1192" s="195">
        <v>902965.43</v>
      </c>
    </row>
    <row r="1193" spans="1:9" x14ac:dyDescent="0.2">
      <c r="A1193" s="193">
        <v>1829300110</v>
      </c>
      <c r="B1193" s="193" t="s">
        <v>536</v>
      </c>
      <c r="C1193" s="195">
        <v>206846</v>
      </c>
      <c r="D1193" s="195">
        <v>171046.6</v>
      </c>
      <c r="E1193" s="195">
        <v>206846</v>
      </c>
      <c r="F1193" s="195">
        <v>193531.34</v>
      </c>
      <c r="G1193" s="195">
        <v>243152.59</v>
      </c>
      <c r="H1193" s="195">
        <v>221121.62</v>
      </c>
      <c r="I1193" s="195">
        <v>208548.68</v>
      </c>
    </row>
    <row r="1194" spans="1:9" x14ac:dyDescent="0.2">
      <c r="A1194" s="193">
        <v>1829300210</v>
      </c>
      <c r="B1194" s="193" t="s">
        <v>251</v>
      </c>
      <c r="C1194" s="195">
        <v>40484</v>
      </c>
      <c r="D1194" s="195">
        <v>34418.31</v>
      </c>
      <c r="E1194" s="195">
        <v>40484</v>
      </c>
      <c r="F1194" s="195">
        <v>40330.68</v>
      </c>
      <c r="G1194" s="195">
        <v>6003.74</v>
      </c>
    </row>
    <row r="1195" spans="1:9" x14ac:dyDescent="0.2">
      <c r="A1195" s="193">
        <v>1829900110</v>
      </c>
      <c r="B1195" s="193" t="s">
        <v>537</v>
      </c>
      <c r="C1195" s="195">
        <v>133857</v>
      </c>
      <c r="D1195" s="195">
        <v>110913.42</v>
      </c>
      <c r="E1195" s="195">
        <v>133857</v>
      </c>
      <c r="F1195" s="195">
        <v>105558.49</v>
      </c>
      <c r="G1195" s="195">
        <v>114943.9</v>
      </c>
      <c r="H1195" s="195">
        <v>304676.59999999998</v>
      </c>
      <c r="I1195" s="195">
        <v>413449.62</v>
      </c>
    </row>
    <row r="1196" spans="1:9" x14ac:dyDescent="0.2">
      <c r="A1196" s="193">
        <v>1829900210</v>
      </c>
      <c r="B1196" s="193" t="s">
        <v>252</v>
      </c>
    </row>
    <row r="1197" spans="1:9" x14ac:dyDescent="0.2">
      <c r="A1197" s="193">
        <v>1829900430</v>
      </c>
      <c r="B1197" s="193" t="s">
        <v>1154</v>
      </c>
      <c r="C1197" s="195">
        <v>135000</v>
      </c>
      <c r="D1197" s="195">
        <v>82991.570000000007</v>
      </c>
      <c r="E1197" s="195">
        <v>135000</v>
      </c>
      <c r="F1197" s="195">
        <v>157754.10999999999</v>
      </c>
      <c r="G1197" s="195">
        <v>142686.16</v>
      </c>
      <c r="H1197" s="195">
        <v>122292.15</v>
      </c>
      <c r="I1197" s="195">
        <v>299698.48</v>
      </c>
    </row>
    <row r="1198" spans="1:9" x14ac:dyDescent="0.2">
      <c r="A1198" s="193">
        <v>1829900750</v>
      </c>
      <c r="B1198" s="193" t="s">
        <v>879</v>
      </c>
      <c r="C1198" s="195">
        <v>300000</v>
      </c>
      <c r="D1198" s="195">
        <v>150361</v>
      </c>
      <c r="E1198" s="195">
        <v>300000</v>
      </c>
      <c r="F1198" s="195">
        <v>374160</v>
      </c>
      <c r="G1198" s="195">
        <v>228180</v>
      </c>
      <c r="H1198" s="195">
        <v>135038.54</v>
      </c>
      <c r="I1198" s="195">
        <v>353624.3</v>
      </c>
    </row>
    <row r="1199" spans="1:9" x14ac:dyDescent="0.2">
      <c r="A1199" s="193">
        <v>1829900751</v>
      </c>
      <c r="B1199" s="193" t="s">
        <v>1488</v>
      </c>
      <c r="E1199" s="195">
        <v>125000</v>
      </c>
    </row>
    <row r="1200" spans="1:9" x14ac:dyDescent="0.2">
      <c r="A1200" s="193">
        <v>1829900810</v>
      </c>
      <c r="B1200" s="193" t="s">
        <v>794</v>
      </c>
      <c r="C1200" s="195">
        <v>4650000</v>
      </c>
      <c r="D1200" s="195">
        <v>7750001</v>
      </c>
      <c r="E1200" s="195">
        <v>7750000</v>
      </c>
      <c r="F1200" s="195">
        <v>6199999</v>
      </c>
      <c r="G1200" s="195">
        <v>2300001</v>
      </c>
      <c r="H1200" s="195">
        <v>2300000</v>
      </c>
      <c r="I1200" s="195">
        <v>2600000</v>
      </c>
    </row>
    <row r="1201" spans="1:9" x14ac:dyDescent="0.2">
      <c r="A1201" s="193">
        <v>1829900811</v>
      </c>
      <c r="B1201" s="193" t="s">
        <v>880</v>
      </c>
      <c r="C1201" s="195">
        <v>15000</v>
      </c>
      <c r="D1201" s="195">
        <v>773.02</v>
      </c>
      <c r="E1201" s="195">
        <v>15000</v>
      </c>
      <c r="F1201" s="195">
        <v>1652.43</v>
      </c>
      <c r="G1201" s="195">
        <v>1556.24</v>
      </c>
      <c r="H1201" s="195">
        <v>20610.509999999998</v>
      </c>
      <c r="I1201" s="195">
        <v>15169.8</v>
      </c>
    </row>
    <row r="1202" spans="1:9" x14ac:dyDescent="0.2">
      <c r="A1202" s="193">
        <v>1829900910</v>
      </c>
      <c r="B1202" s="193" t="s">
        <v>881</v>
      </c>
      <c r="H1202" s="195">
        <v>12500</v>
      </c>
    </row>
    <row r="1203" spans="1:9" x14ac:dyDescent="0.2">
      <c r="A1203" s="193">
        <v>1829910810</v>
      </c>
      <c r="B1203" s="193" t="s">
        <v>882</v>
      </c>
      <c r="F1203" s="195">
        <v>100000</v>
      </c>
      <c r="H1203" s="195">
        <v>23200</v>
      </c>
    </row>
    <row r="1204" spans="1:9" x14ac:dyDescent="0.2">
      <c r="A1204" s="193">
        <v>1836100810</v>
      </c>
      <c r="B1204" s="193" t="s">
        <v>883</v>
      </c>
      <c r="C1204" s="195">
        <v>180000</v>
      </c>
      <c r="D1204" s="195">
        <v>180000</v>
      </c>
      <c r="E1204" s="195">
        <v>180000</v>
      </c>
      <c r="F1204" s="195">
        <v>180000</v>
      </c>
      <c r="G1204" s="195">
        <v>180000</v>
      </c>
      <c r="H1204" s="195">
        <v>180000</v>
      </c>
      <c r="I1204" s="195">
        <v>180000</v>
      </c>
    </row>
    <row r="1205" spans="1:9" x14ac:dyDescent="0.2">
      <c r="A1205" s="193">
        <v>1839000810</v>
      </c>
      <c r="B1205" s="193" t="s">
        <v>794</v>
      </c>
    </row>
    <row r="1206" spans="1:9" x14ac:dyDescent="0.2">
      <c r="A1206" s="193">
        <v>1839001810</v>
      </c>
      <c r="B1206" s="193" t="s">
        <v>182</v>
      </c>
    </row>
    <row r="1207" spans="1:9" x14ac:dyDescent="0.2">
      <c r="A1207" s="193">
        <v>1840000399</v>
      </c>
      <c r="B1207" s="193" t="s">
        <v>24</v>
      </c>
    </row>
    <row r="1208" spans="1:9" x14ac:dyDescent="0.2">
      <c r="A1208" s="193">
        <v>1840000910</v>
      </c>
      <c r="B1208" s="193" t="s">
        <v>741</v>
      </c>
      <c r="F1208" s="195">
        <v>7588</v>
      </c>
      <c r="H1208" s="195">
        <v>15000</v>
      </c>
      <c r="I1208" s="195">
        <v>17074</v>
      </c>
    </row>
    <row r="1209" spans="1:9" x14ac:dyDescent="0.2">
      <c r="A1209" s="193">
        <v>1840000981</v>
      </c>
      <c r="B1209" s="193" t="s">
        <v>74</v>
      </c>
      <c r="F1209" s="195">
        <v>994</v>
      </c>
    </row>
    <row r="1210" spans="1:9" x14ac:dyDescent="0.2">
      <c r="A1210" s="193">
        <v>1841000110</v>
      </c>
      <c r="B1210" s="193" t="s">
        <v>401</v>
      </c>
      <c r="C1210" s="195">
        <v>8470878</v>
      </c>
      <c r="D1210" s="195">
        <v>6581485.9100000001</v>
      </c>
      <c r="E1210" s="195">
        <v>8470878</v>
      </c>
      <c r="F1210" s="195">
        <v>8012514.7599999998</v>
      </c>
      <c r="G1210" s="195">
        <v>7714729.5199999996</v>
      </c>
      <c r="H1210" s="195">
        <v>6990906.4500000002</v>
      </c>
      <c r="I1210" s="195">
        <v>5991766.1299999999</v>
      </c>
    </row>
    <row r="1211" spans="1:9" x14ac:dyDescent="0.2">
      <c r="A1211" s="193">
        <v>1841000210</v>
      </c>
      <c r="B1211" s="193" t="s">
        <v>1011</v>
      </c>
      <c r="C1211" s="195">
        <v>551350</v>
      </c>
      <c r="D1211" s="195">
        <v>464184.47</v>
      </c>
      <c r="E1211" s="195">
        <v>551350</v>
      </c>
      <c r="F1211" s="195">
        <v>363670</v>
      </c>
      <c r="G1211" s="195">
        <v>144292.76</v>
      </c>
      <c r="H1211" s="195">
        <v>123747.18</v>
      </c>
      <c r="I1211" s="195">
        <v>110690.02</v>
      </c>
    </row>
    <row r="1212" spans="1:9" x14ac:dyDescent="0.2">
      <c r="A1212" s="193">
        <v>1841000511</v>
      </c>
      <c r="B1212" s="193" t="s">
        <v>790</v>
      </c>
      <c r="C1212" s="195">
        <v>9800</v>
      </c>
      <c r="D1212" s="195">
        <v>3500</v>
      </c>
      <c r="E1212" s="195">
        <v>9800</v>
      </c>
      <c r="F1212" s="195">
        <v>9050</v>
      </c>
      <c r="G1212" s="195">
        <v>13451.31</v>
      </c>
      <c r="H1212" s="195">
        <v>8187.86</v>
      </c>
    </row>
    <row r="1213" spans="1:9" x14ac:dyDescent="0.2">
      <c r="A1213" s="193">
        <v>1841000512</v>
      </c>
      <c r="B1213" s="193" t="s">
        <v>183</v>
      </c>
    </row>
    <row r="1214" spans="1:9" x14ac:dyDescent="0.2">
      <c r="A1214" s="193">
        <v>1841000540</v>
      </c>
      <c r="B1214" s="193" t="s">
        <v>184</v>
      </c>
    </row>
    <row r="1215" spans="1:9" x14ac:dyDescent="0.2">
      <c r="A1215" s="193">
        <v>1841000560</v>
      </c>
      <c r="B1215" s="193" t="s">
        <v>966</v>
      </c>
      <c r="C1215" s="195">
        <v>15000</v>
      </c>
      <c r="D1215" s="195">
        <v>12687.15</v>
      </c>
      <c r="E1215" s="195">
        <v>15000</v>
      </c>
      <c r="F1215" s="195">
        <v>13643.68</v>
      </c>
      <c r="G1215" s="195">
        <v>24588.71</v>
      </c>
      <c r="H1215" s="195">
        <v>17522.09</v>
      </c>
      <c r="I1215" s="195">
        <v>7295</v>
      </c>
    </row>
    <row r="1216" spans="1:9" x14ac:dyDescent="0.2">
      <c r="A1216" s="193">
        <v>1841000570</v>
      </c>
      <c r="B1216" s="193" t="s">
        <v>1023</v>
      </c>
      <c r="C1216" s="195">
        <v>10200</v>
      </c>
      <c r="D1216" s="195">
        <v>6488.48</v>
      </c>
      <c r="E1216" s="195">
        <v>10200</v>
      </c>
      <c r="F1216" s="195">
        <v>9776.64</v>
      </c>
      <c r="G1216" s="195">
        <v>13202.54</v>
      </c>
      <c r="H1216" s="195">
        <v>15468.28</v>
      </c>
      <c r="I1216" s="195">
        <v>14990.89</v>
      </c>
    </row>
    <row r="1217" spans="1:9" x14ac:dyDescent="0.2">
      <c r="A1217" s="193">
        <v>1841000571</v>
      </c>
      <c r="B1217" s="193" t="s">
        <v>590</v>
      </c>
      <c r="C1217" s="195">
        <v>7500</v>
      </c>
      <c r="E1217" s="195">
        <v>7500</v>
      </c>
      <c r="F1217" s="195">
        <v>7200</v>
      </c>
    </row>
    <row r="1218" spans="1:9" x14ac:dyDescent="0.2">
      <c r="A1218" s="193">
        <v>1841000580</v>
      </c>
      <c r="B1218" s="193" t="s">
        <v>835</v>
      </c>
      <c r="C1218" s="195">
        <v>80000</v>
      </c>
      <c r="D1218" s="195">
        <v>60201.58</v>
      </c>
      <c r="E1218" s="195">
        <v>80000</v>
      </c>
      <c r="F1218" s="195">
        <v>80094.66</v>
      </c>
      <c r="G1218" s="195">
        <v>69829.67</v>
      </c>
      <c r="H1218" s="195">
        <v>66910.78</v>
      </c>
      <c r="I1218" s="195">
        <v>100278.55</v>
      </c>
    </row>
    <row r="1219" spans="1:9" x14ac:dyDescent="0.2">
      <c r="A1219" s="193">
        <v>1841000750</v>
      </c>
      <c r="B1219" s="193" t="s">
        <v>1024</v>
      </c>
      <c r="C1219" s="195">
        <v>4000</v>
      </c>
      <c r="D1219" s="195">
        <v>1858.3</v>
      </c>
      <c r="E1219" s="195">
        <v>4000</v>
      </c>
      <c r="F1219" s="195">
        <v>3445.68</v>
      </c>
      <c r="H1219" s="195">
        <v>132369.78</v>
      </c>
      <c r="I1219" s="195">
        <v>92575</v>
      </c>
    </row>
    <row r="1220" spans="1:9" x14ac:dyDescent="0.2">
      <c r="A1220" s="193">
        <v>1841000780</v>
      </c>
      <c r="B1220" s="193" t="s">
        <v>1046</v>
      </c>
      <c r="D1220" s="195">
        <v>181.72</v>
      </c>
      <c r="F1220" s="195">
        <v>530.26</v>
      </c>
      <c r="G1220" s="195">
        <v>409.19</v>
      </c>
      <c r="H1220" s="195">
        <v>112.96</v>
      </c>
      <c r="I1220" s="195">
        <v>519.96</v>
      </c>
    </row>
    <row r="1221" spans="1:9" x14ac:dyDescent="0.2">
      <c r="A1221" s="193">
        <v>1841000811</v>
      </c>
      <c r="B1221" s="193" t="s">
        <v>185</v>
      </c>
    </row>
    <row r="1222" spans="1:9" x14ac:dyDescent="0.2">
      <c r="A1222" s="193">
        <v>1841000841</v>
      </c>
      <c r="B1222" s="193" t="s">
        <v>1403</v>
      </c>
    </row>
    <row r="1223" spans="1:9" x14ac:dyDescent="0.2">
      <c r="A1223" s="193">
        <v>1841000843</v>
      </c>
      <c r="B1223" s="193" t="s">
        <v>402</v>
      </c>
      <c r="C1223" s="195">
        <v>20000</v>
      </c>
      <c r="D1223" s="195">
        <v>7200</v>
      </c>
      <c r="E1223" s="195">
        <v>20000</v>
      </c>
      <c r="F1223" s="195">
        <v>9238.2099999999991</v>
      </c>
      <c r="G1223" s="195">
        <v>5985.33</v>
      </c>
      <c r="H1223" s="195">
        <v>20000</v>
      </c>
      <c r="I1223" s="195">
        <v>1809.6</v>
      </c>
    </row>
    <row r="1224" spans="1:9" x14ac:dyDescent="0.2">
      <c r="A1224" s="193">
        <v>1841000844</v>
      </c>
      <c r="B1224" s="193" t="s">
        <v>403</v>
      </c>
    </row>
    <row r="1225" spans="1:9" x14ac:dyDescent="0.2">
      <c r="A1225" s="193">
        <v>1841000845</v>
      </c>
      <c r="B1225" s="193" t="s">
        <v>1404</v>
      </c>
      <c r="F1225" s="195">
        <v>100</v>
      </c>
    </row>
    <row r="1226" spans="1:9" x14ac:dyDescent="0.2">
      <c r="A1226" s="193">
        <v>1841000846</v>
      </c>
      <c r="B1226" s="193" t="s">
        <v>404</v>
      </c>
      <c r="C1226" s="195">
        <v>50000</v>
      </c>
      <c r="D1226" s="195">
        <v>52503.8</v>
      </c>
      <c r="E1226" s="195">
        <v>50000</v>
      </c>
      <c r="F1226" s="195">
        <v>14424.92</v>
      </c>
      <c r="G1226" s="195">
        <v>27022.080000000002</v>
      </c>
      <c r="H1226" s="195">
        <v>25804.959999999999</v>
      </c>
      <c r="I1226" s="195">
        <v>8299.4500000000007</v>
      </c>
    </row>
    <row r="1227" spans="1:9" x14ac:dyDescent="0.2">
      <c r="A1227" s="193">
        <v>1841000847</v>
      </c>
      <c r="B1227" s="193" t="s">
        <v>405</v>
      </c>
    </row>
    <row r="1228" spans="1:9" x14ac:dyDescent="0.2">
      <c r="A1228" s="193">
        <v>1841000848</v>
      </c>
      <c r="B1228" s="193" t="s">
        <v>1487</v>
      </c>
    </row>
    <row r="1229" spans="1:9" x14ac:dyDescent="0.2">
      <c r="A1229" s="193">
        <v>1841000910</v>
      </c>
      <c r="B1229" s="193" t="s">
        <v>704</v>
      </c>
      <c r="C1229" s="195">
        <v>51432</v>
      </c>
      <c r="D1229" s="195">
        <v>67113.149999999994</v>
      </c>
      <c r="E1229" s="195">
        <v>51432</v>
      </c>
      <c r="F1229" s="195">
        <v>55804.480000000003</v>
      </c>
      <c r="H1229" s="195">
        <v>67297</v>
      </c>
    </row>
    <row r="1230" spans="1:9" x14ac:dyDescent="0.2">
      <c r="A1230" s="193">
        <v>1841000980</v>
      </c>
      <c r="B1230" s="193" t="s">
        <v>652</v>
      </c>
      <c r="C1230" s="195">
        <v>200000</v>
      </c>
      <c r="D1230" s="195">
        <v>111532</v>
      </c>
      <c r="E1230" s="195">
        <v>200000</v>
      </c>
      <c r="F1230" s="195">
        <v>295807.68</v>
      </c>
      <c r="G1230" s="195">
        <v>349626.82</v>
      </c>
      <c r="H1230" s="195">
        <v>332748.03999999998</v>
      </c>
      <c r="I1230" s="195">
        <v>114119.69</v>
      </c>
    </row>
    <row r="1231" spans="1:9" x14ac:dyDescent="0.2">
      <c r="A1231" s="193">
        <v>1841000981</v>
      </c>
      <c r="B1231" s="193" t="s">
        <v>1463</v>
      </c>
      <c r="C1231" s="195">
        <v>412000</v>
      </c>
      <c r="D1231" s="195">
        <v>174135.49</v>
      </c>
      <c r="E1231" s="195">
        <v>412000</v>
      </c>
    </row>
    <row r="1232" spans="1:9" x14ac:dyDescent="0.2">
      <c r="A1232" s="193">
        <v>1841000982</v>
      </c>
      <c r="B1232" s="193" t="s">
        <v>1486</v>
      </c>
    </row>
    <row r="1233" spans="1:9" x14ac:dyDescent="0.2">
      <c r="A1233" s="193">
        <v>1841100750</v>
      </c>
      <c r="B1233" s="193" t="s">
        <v>714</v>
      </c>
      <c r="F1233" s="195">
        <v>114444</v>
      </c>
      <c r="G1233" s="195">
        <v>152052</v>
      </c>
      <c r="H1233" s="195">
        <v>150432</v>
      </c>
      <c r="I1233" s="195">
        <v>150000</v>
      </c>
    </row>
    <row r="1234" spans="1:9" x14ac:dyDescent="0.2">
      <c r="A1234" s="193">
        <v>1842200840</v>
      </c>
      <c r="B1234" s="193" t="s">
        <v>406</v>
      </c>
      <c r="C1234" s="195">
        <v>185000</v>
      </c>
      <c r="D1234" s="195">
        <v>116401</v>
      </c>
      <c r="E1234" s="195">
        <v>185000</v>
      </c>
      <c r="F1234" s="195">
        <v>215790.16</v>
      </c>
      <c r="G1234" s="195">
        <v>155151</v>
      </c>
      <c r="H1234" s="195">
        <v>155957.99</v>
      </c>
      <c r="I1234" s="195">
        <v>177772</v>
      </c>
    </row>
    <row r="1235" spans="1:9" x14ac:dyDescent="0.2">
      <c r="A1235" s="193">
        <v>1842200841</v>
      </c>
      <c r="B1235" s="193" t="s">
        <v>1252</v>
      </c>
      <c r="I1235" s="195">
        <v>56540</v>
      </c>
    </row>
    <row r="1236" spans="1:9" x14ac:dyDescent="0.2">
      <c r="A1236" s="193">
        <v>1842200842</v>
      </c>
      <c r="B1236" s="193" t="s">
        <v>1025</v>
      </c>
      <c r="I1236" s="195">
        <v>9272</v>
      </c>
    </row>
    <row r="1237" spans="1:9" x14ac:dyDescent="0.2">
      <c r="A1237" s="193">
        <v>1842200843</v>
      </c>
      <c r="B1237" s="193" t="s">
        <v>407</v>
      </c>
      <c r="C1237" s="195">
        <v>160000</v>
      </c>
      <c r="D1237" s="195">
        <v>74436</v>
      </c>
      <c r="E1237" s="195">
        <v>160000</v>
      </c>
      <c r="F1237" s="195">
        <v>175105.4</v>
      </c>
      <c r="G1237" s="195">
        <v>153083</v>
      </c>
      <c r="H1237" s="195">
        <v>192234</v>
      </c>
      <c r="I1237" s="195">
        <v>161862</v>
      </c>
    </row>
    <row r="1238" spans="1:9" x14ac:dyDescent="0.2">
      <c r="A1238" s="193">
        <v>1842200844</v>
      </c>
      <c r="B1238" s="193" t="s">
        <v>1026</v>
      </c>
      <c r="C1238" s="195">
        <v>30000</v>
      </c>
      <c r="D1238" s="195">
        <v>10069</v>
      </c>
      <c r="E1238" s="195">
        <v>30000</v>
      </c>
      <c r="F1238" s="195">
        <v>18155</v>
      </c>
      <c r="G1238" s="195">
        <v>66511</v>
      </c>
      <c r="I1238" s="195">
        <v>11353</v>
      </c>
    </row>
    <row r="1239" spans="1:9" x14ac:dyDescent="0.2">
      <c r="A1239" s="193">
        <v>1842200845</v>
      </c>
      <c r="B1239" s="193" t="s">
        <v>1405</v>
      </c>
    </row>
    <row r="1240" spans="1:9" x14ac:dyDescent="0.2">
      <c r="A1240" s="193">
        <v>1842200846</v>
      </c>
      <c r="B1240" s="193" t="s">
        <v>409</v>
      </c>
      <c r="C1240" s="195">
        <v>100000</v>
      </c>
      <c r="D1240" s="195">
        <v>33825</v>
      </c>
      <c r="E1240" s="195">
        <v>100000</v>
      </c>
      <c r="F1240" s="195">
        <v>68792</v>
      </c>
      <c r="G1240" s="195">
        <v>173447</v>
      </c>
      <c r="H1240" s="195">
        <v>280976</v>
      </c>
      <c r="I1240" s="195">
        <v>67068</v>
      </c>
    </row>
    <row r="1241" spans="1:9" x14ac:dyDescent="0.2">
      <c r="A1241" s="193">
        <v>1842200847</v>
      </c>
      <c r="B1241" s="193" t="s">
        <v>1485</v>
      </c>
      <c r="D1241" s="195">
        <v>4382</v>
      </c>
    </row>
    <row r="1242" spans="1:9" x14ac:dyDescent="0.2">
      <c r="A1242" s="193">
        <v>1842200848</v>
      </c>
      <c r="B1242" s="193" t="s">
        <v>1406</v>
      </c>
    </row>
    <row r="1243" spans="1:9" x14ac:dyDescent="0.2">
      <c r="A1243" s="193">
        <v>1842200849</v>
      </c>
      <c r="B1243" s="193" t="s">
        <v>93</v>
      </c>
    </row>
    <row r="1244" spans="1:9" x14ac:dyDescent="0.2">
      <c r="A1244" s="193">
        <v>1842400840</v>
      </c>
      <c r="B1244" s="193" t="s">
        <v>186</v>
      </c>
    </row>
    <row r="1245" spans="1:9" x14ac:dyDescent="0.2">
      <c r="A1245" s="193">
        <v>1842400841</v>
      </c>
      <c r="B1245" s="193" t="s">
        <v>410</v>
      </c>
      <c r="C1245" s="195">
        <v>12000</v>
      </c>
      <c r="D1245" s="195">
        <v>4000</v>
      </c>
      <c r="E1245" s="195">
        <v>12000</v>
      </c>
      <c r="F1245" s="195">
        <v>6800</v>
      </c>
      <c r="G1245" s="195">
        <v>7600</v>
      </c>
      <c r="H1245" s="195">
        <v>692</v>
      </c>
      <c r="I1245" s="195">
        <v>9555</v>
      </c>
    </row>
    <row r="1246" spans="1:9" x14ac:dyDescent="0.2">
      <c r="A1246" s="193">
        <v>1842400843</v>
      </c>
      <c r="B1246" s="193" t="s">
        <v>187</v>
      </c>
    </row>
    <row r="1247" spans="1:9" x14ac:dyDescent="0.2">
      <c r="A1247" s="193">
        <v>1842400844</v>
      </c>
      <c r="B1247" s="193" t="s">
        <v>1027</v>
      </c>
      <c r="C1247" s="195">
        <v>40000</v>
      </c>
      <c r="D1247" s="195">
        <v>26582</v>
      </c>
      <c r="E1247" s="195">
        <v>40000</v>
      </c>
      <c r="F1247" s="195">
        <v>27189.200000000001</v>
      </c>
      <c r="G1247" s="195">
        <v>12147.3</v>
      </c>
      <c r="H1247" s="195">
        <v>6197.65</v>
      </c>
      <c r="I1247" s="195">
        <v>5992.56</v>
      </c>
    </row>
    <row r="1248" spans="1:9" x14ac:dyDescent="0.2">
      <c r="A1248" s="193">
        <v>1842400845</v>
      </c>
      <c r="B1248" s="193" t="s">
        <v>411</v>
      </c>
      <c r="C1248" s="195">
        <v>90000</v>
      </c>
      <c r="D1248" s="195">
        <v>49561.5</v>
      </c>
      <c r="E1248" s="195">
        <v>90000</v>
      </c>
      <c r="F1248" s="195">
        <v>82320.17</v>
      </c>
      <c r="G1248" s="195">
        <v>43888.14</v>
      </c>
      <c r="H1248" s="195">
        <v>48699.27</v>
      </c>
      <c r="I1248" s="195">
        <v>30375.88</v>
      </c>
    </row>
    <row r="1249" spans="1:9" x14ac:dyDescent="0.2">
      <c r="A1249" s="193">
        <v>1842400846</v>
      </c>
      <c r="B1249" s="193" t="s">
        <v>1408</v>
      </c>
    </row>
    <row r="1250" spans="1:9" x14ac:dyDescent="0.2">
      <c r="A1250" s="193">
        <v>1842401840</v>
      </c>
      <c r="B1250" s="193" t="s">
        <v>412</v>
      </c>
      <c r="C1250" s="195">
        <v>162000</v>
      </c>
      <c r="D1250" s="195">
        <v>162000</v>
      </c>
      <c r="E1250" s="195">
        <v>162000</v>
      </c>
      <c r="F1250" s="195">
        <v>180000</v>
      </c>
      <c r="G1250" s="195">
        <v>180000</v>
      </c>
      <c r="H1250" s="195">
        <v>180000</v>
      </c>
      <c r="I1250" s="195">
        <v>181102</v>
      </c>
    </row>
    <row r="1251" spans="1:9" x14ac:dyDescent="0.2">
      <c r="A1251" s="193">
        <v>1843210110</v>
      </c>
      <c r="B1251" s="193" t="s">
        <v>919</v>
      </c>
    </row>
    <row r="1252" spans="1:9" x14ac:dyDescent="0.2">
      <c r="A1252" s="193">
        <v>1843500110</v>
      </c>
      <c r="B1252" s="193" t="s">
        <v>1484</v>
      </c>
      <c r="C1252" s="195">
        <v>84985</v>
      </c>
      <c r="E1252" s="195">
        <v>84985</v>
      </c>
    </row>
    <row r="1253" spans="1:9" x14ac:dyDescent="0.2">
      <c r="A1253" s="193">
        <v>1843500210</v>
      </c>
      <c r="B1253" s="193" t="s">
        <v>1483</v>
      </c>
      <c r="D1253" s="195">
        <v>66438.44</v>
      </c>
      <c r="F1253" s="195">
        <v>84174.25</v>
      </c>
      <c r="G1253" s="195">
        <v>80241.570000000007</v>
      </c>
      <c r="H1253" s="195">
        <v>97846.43</v>
      </c>
      <c r="I1253" s="195">
        <v>216608.78</v>
      </c>
    </row>
    <row r="1254" spans="1:9" x14ac:dyDescent="0.2">
      <c r="A1254" s="193">
        <v>1843500840</v>
      </c>
      <c r="B1254" s="193" t="s">
        <v>85</v>
      </c>
      <c r="F1254" s="195">
        <v>107</v>
      </c>
    </row>
    <row r="1255" spans="1:9" x14ac:dyDescent="0.2">
      <c r="A1255" s="193">
        <v>1843500841</v>
      </c>
      <c r="B1255" s="193" t="s">
        <v>413</v>
      </c>
      <c r="C1255" s="195">
        <v>242424</v>
      </c>
      <c r="D1255" s="195">
        <v>103561</v>
      </c>
      <c r="E1255" s="195">
        <v>242424</v>
      </c>
      <c r="F1255" s="195">
        <v>212997</v>
      </c>
      <c r="G1255" s="195">
        <v>310717</v>
      </c>
      <c r="H1255" s="195">
        <v>284740</v>
      </c>
      <c r="I1255" s="195">
        <v>196772</v>
      </c>
    </row>
    <row r="1256" spans="1:9" x14ac:dyDescent="0.2">
      <c r="A1256" s="193">
        <v>1843500842</v>
      </c>
      <c r="B1256" s="193" t="s">
        <v>414</v>
      </c>
      <c r="C1256" s="195">
        <v>750000</v>
      </c>
      <c r="D1256" s="195">
        <v>529506</v>
      </c>
      <c r="E1256" s="195">
        <v>750000</v>
      </c>
      <c r="F1256" s="195">
        <v>782911</v>
      </c>
      <c r="G1256" s="195">
        <v>777163.69</v>
      </c>
      <c r="H1256" s="195">
        <v>768041.5</v>
      </c>
      <c r="I1256" s="195">
        <v>646500.4</v>
      </c>
    </row>
    <row r="1257" spans="1:9" x14ac:dyDescent="0.2">
      <c r="A1257" s="193">
        <v>1843500843</v>
      </c>
      <c r="B1257" s="193" t="s">
        <v>1409</v>
      </c>
    </row>
    <row r="1258" spans="1:9" x14ac:dyDescent="0.2">
      <c r="A1258" s="193">
        <v>1843500844</v>
      </c>
      <c r="B1258" s="193" t="s">
        <v>415</v>
      </c>
      <c r="C1258" s="195">
        <v>90000</v>
      </c>
      <c r="D1258" s="195">
        <v>26973</v>
      </c>
      <c r="E1258" s="195">
        <v>90000</v>
      </c>
      <c r="F1258" s="195">
        <v>27200</v>
      </c>
      <c r="G1258" s="195">
        <v>49985.88</v>
      </c>
      <c r="H1258" s="195">
        <v>10283</v>
      </c>
      <c r="I1258" s="195">
        <v>63934.99</v>
      </c>
    </row>
    <row r="1259" spans="1:9" x14ac:dyDescent="0.2">
      <c r="A1259" s="193">
        <v>1843500845</v>
      </c>
      <c r="B1259" s="193" t="s">
        <v>416</v>
      </c>
      <c r="C1259" s="195">
        <v>235440</v>
      </c>
      <c r="D1259" s="195">
        <v>32072.959999999999</v>
      </c>
      <c r="E1259" s="195">
        <v>235440</v>
      </c>
      <c r="F1259" s="195">
        <v>187483.87</v>
      </c>
      <c r="G1259" s="195">
        <v>320245.5</v>
      </c>
      <c r="H1259" s="195">
        <v>129046.67</v>
      </c>
      <c r="I1259" s="195">
        <v>93887.28</v>
      </c>
    </row>
    <row r="1260" spans="1:9" x14ac:dyDescent="0.2">
      <c r="A1260" s="193">
        <v>1843500847</v>
      </c>
      <c r="B1260" s="193" t="s">
        <v>417</v>
      </c>
      <c r="C1260" s="195">
        <v>59400</v>
      </c>
      <c r="D1260" s="195">
        <v>11026</v>
      </c>
      <c r="E1260" s="195">
        <v>59400</v>
      </c>
      <c r="F1260" s="195">
        <v>11278</v>
      </c>
      <c r="G1260" s="195">
        <v>44624</v>
      </c>
      <c r="H1260" s="195">
        <v>11305</v>
      </c>
      <c r="I1260" s="195">
        <v>7616.01</v>
      </c>
    </row>
    <row r="1261" spans="1:9" x14ac:dyDescent="0.2">
      <c r="A1261" s="193">
        <v>1843500848</v>
      </c>
      <c r="B1261" s="193" t="s">
        <v>188</v>
      </c>
    </row>
    <row r="1262" spans="1:9" x14ac:dyDescent="0.2">
      <c r="A1262" s="193">
        <v>1843500849</v>
      </c>
      <c r="B1262" s="193" t="s">
        <v>418</v>
      </c>
      <c r="C1262" s="195">
        <v>61950</v>
      </c>
      <c r="D1262" s="195">
        <v>74664</v>
      </c>
      <c r="E1262" s="195">
        <v>61950</v>
      </c>
      <c r="F1262" s="195">
        <v>61950</v>
      </c>
      <c r="G1262" s="195">
        <v>30930</v>
      </c>
      <c r="H1262" s="195">
        <v>39528</v>
      </c>
      <c r="I1262" s="195">
        <v>12000</v>
      </c>
    </row>
    <row r="1263" spans="1:9" x14ac:dyDescent="0.2">
      <c r="A1263" s="193">
        <v>1843500850</v>
      </c>
      <c r="B1263" s="193" t="s">
        <v>58</v>
      </c>
      <c r="C1263" s="195">
        <v>10000</v>
      </c>
      <c r="D1263" s="195">
        <v>4000</v>
      </c>
      <c r="E1263" s="195">
        <v>10000</v>
      </c>
    </row>
    <row r="1264" spans="1:9" x14ac:dyDescent="0.2">
      <c r="A1264" s="193">
        <v>1843800110</v>
      </c>
      <c r="B1264" s="193" t="s">
        <v>1012</v>
      </c>
      <c r="C1264" s="195">
        <v>112205</v>
      </c>
      <c r="D1264" s="195">
        <v>89951.09</v>
      </c>
      <c r="E1264" s="195">
        <v>112205</v>
      </c>
      <c r="F1264" s="195">
        <v>106795.19</v>
      </c>
      <c r="G1264" s="195">
        <v>122485.29</v>
      </c>
      <c r="H1264" s="195">
        <v>96816.66</v>
      </c>
      <c r="I1264" s="195">
        <v>13981.37</v>
      </c>
    </row>
    <row r="1265" spans="1:9" x14ac:dyDescent="0.2">
      <c r="A1265" s="193">
        <v>1843800840</v>
      </c>
      <c r="B1265" s="193" t="s">
        <v>419</v>
      </c>
      <c r="C1265" s="195">
        <v>5168376</v>
      </c>
      <c r="D1265" s="195">
        <v>3257628</v>
      </c>
      <c r="E1265" s="195">
        <v>5168376</v>
      </c>
      <c r="F1265" s="195">
        <v>5006641</v>
      </c>
      <c r="G1265" s="195">
        <v>4329443</v>
      </c>
      <c r="H1265" s="195">
        <v>4239777</v>
      </c>
      <c r="I1265" s="195">
        <v>3402877</v>
      </c>
    </row>
    <row r="1266" spans="1:9" x14ac:dyDescent="0.2">
      <c r="A1266" s="193">
        <v>1843800841</v>
      </c>
      <c r="B1266" s="193" t="s">
        <v>189</v>
      </c>
    </row>
    <row r="1267" spans="1:9" x14ac:dyDescent="0.2">
      <c r="A1267" s="193">
        <v>1843800842</v>
      </c>
      <c r="B1267" s="193" t="s">
        <v>190</v>
      </c>
      <c r="D1267" s="195">
        <v>62062</v>
      </c>
      <c r="G1267" s="195">
        <v>42682</v>
      </c>
      <c r="H1267" s="195">
        <v>26046</v>
      </c>
    </row>
    <row r="1268" spans="1:9" x14ac:dyDescent="0.2">
      <c r="A1268" s="193">
        <v>1843800844</v>
      </c>
      <c r="B1268" s="193" t="s">
        <v>191</v>
      </c>
    </row>
    <row r="1269" spans="1:9" x14ac:dyDescent="0.2">
      <c r="A1269" s="193">
        <v>1843800845</v>
      </c>
      <c r="B1269" s="193" t="s">
        <v>420</v>
      </c>
      <c r="C1269" s="195">
        <v>400000</v>
      </c>
      <c r="D1269" s="195">
        <v>101181</v>
      </c>
      <c r="E1269" s="195">
        <v>400000</v>
      </c>
      <c r="F1269" s="195">
        <v>401847</v>
      </c>
      <c r="G1269" s="195">
        <v>228788.47</v>
      </c>
      <c r="H1269" s="195">
        <v>231420</v>
      </c>
      <c r="I1269" s="195">
        <v>338400</v>
      </c>
    </row>
    <row r="1270" spans="1:9" x14ac:dyDescent="0.2">
      <c r="A1270" s="193">
        <v>1843900840</v>
      </c>
      <c r="B1270" s="193" t="s">
        <v>421</v>
      </c>
      <c r="C1270" s="195">
        <v>2856000</v>
      </c>
      <c r="D1270" s="195">
        <v>1939030</v>
      </c>
      <c r="E1270" s="195">
        <v>2856000</v>
      </c>
      <c r="F1270" s="195">
        <v>2677430</v>
      </c>
      <c r="G1270" s="195">
        <v>2330055</v>
      </c>
      <c r="H1270" s="195">
        <v>2379210</v>
      </c>
      <c r="I1270" s="195">
        <v>2384103</v>
      </c>
    </row>
    <row r="1271" spans="1:9" x14ac:dyDescent="0.2">
      <c r="A1271" s="193">
        <v>1844000430</v>
      </c>
      <c r="B1271" s="193" t="s">
        <v>1028</v>
      </c>
      <c r="C1271" s="195">
        <v>3500</v>
      </c>
      <c r="D1271" s="195">
        <v>1090.45</v>
      </c>
      <c r="E1271" s="195">
        <v>3500</v>
      </c>
      <c r="F1271" s="195">
        <v>1698.88</v>
      </c>
      <c r="G1271" s="195">
        <v>1868.14</v>
      </c>
      <c r="H1271" s="195">
        <v>1989.32</v>
      </c>
      <c r="I1271" s="195">
        <v>17311.919999999998</v>
      </c>
    </row>
    <row r="1272" spans="1:9" x14ac:dyDescent="0.2">
      <c r="A1272" s="193">
        <v>1844300430</v>
      </c>
      <c r="B1272" s="193" t="s">
        <v>192</v>
      </c>
    </row>
    <row r="1273" spans="1:9" x14ac:dyDescent="0.2">
      <c r="A1273" s="193">
        <v>1844300840</v>
      </c>
      <c r="B1273" s="193" t="s">
        <v>300</v>
      </c>
      <c r="C1273" s="195">
        <v>5280000</v>
      </c>
      <c r="D1273" s="195">
        <v>3261534</v>
      </c>
      <c r="E1273" s="195">
        <v>5280000</v>
      </c>
      <c r="F1273" s="195">
        <v>5153858</v>
      </c>
      <c r="G1273" s="195">
        <v>4916911.18</v>
      </c>
      <c r="H1273" s="195">
        <v>4865455</v>
      </c>
      <c r="I1273" s="195">
        <v>4488807</v>
      </c>
    </row>
    <row r="1274" spans="1:9" x14ac:dyDescent="0.2">
      <c r="A1274" s="193">
        <v>1844300842</v>
      </c>
      <c r="B1274" s="193" t="s">
        <v>59</v>
      </c>
      <c r="F1274" s="195">
        <v>7688</v>
      </c>
      <c r="G1274" s="195">
        <v>7440</v>
      </c>
    </row>
    <row r="1275" spans="1:9" x14ac:dyDescent="0.2">
      <c r="A1275" s="193">
        <v>1844400780</v>
      </c>
      <c r="B1275" s="193" t="s">
        <v>1029</v>
      </c>
      <c r="C1275" s="195">
        <v>60000</v>
      </c>
      <c r="E1275" s="195">
        <v>60000</v>
      </c>
      <c r="F1275" s="195">
        <v>63000</v>
      </c>
      <c r="G1275" s="195">
        <v>75000</v>
      </c>
      <c r="H1275" s="195">
        <v>75000</v>
      </c>
      <c r="I1275" s="195">
        <v>75000</v>
      </c>
    </row>
    <row r="1276" spans="1:9" x14ac:dyDescent="0.2">
      <c r="A1276" s="193">
        <v>1844400840</v>
      </c>
      <c r="B1276" s="193" t="s">
        <v>1482</v>
      </c>
      <c r="C1276" s="195">
        <v>78900</v>
      </c>
      <c r="D1276" s="195">
        <v>10098.41</v>
      </c>
      <c r="E1276" s="195">
        <v>78900</v>
      </c>
    </row>
    <row r="1277" spans="1:9" x14ac:dyDescent="0.2">
      <c r="A1277" s="193">
        <v>1844400841</v>
      </c>
      <c r="B1277" s="193" t="s">
        <v>422</v>
      </c>
      <c r="C1277" s="195">
        <v>127000</v>
      </c>
      <c r="D1277" s="195">
        <v>85053</v>
      </c>
      <c r="E1277" s="195">
        <v>127000</v>
      </c>
      <c r="F1277" s="195">
        <v>149302</v>
      </c>
      <c r="G1277" s="195">
        <v>110000</v>
      </c>
    </row>
    <row r="1278" spans="1:9" x14ac:dyDescent="0.2">
      <c r="A1278" s="193">
        <v>1844400842</v>
      </c>
      <c r="B1278" s="193" t="s">
        <v>423</v>
      </c>
      <c r="C1278" s="195">
        <v>155000</v>
      </c>
      <c r="D1278" s="195">
        <v>149130</v>
      </c>
      <c r="E1278" s="195">
        <v>155000</v>
      </c>
      <c r="F1278" s="195">
        <v>162069</v>
      </c>
      <c r="G1278" s="195">
        <v>112151</v>
      </c>
      <c r="H1278" s="195">
        <v>126646</v>
      </c>
      <c r="I1278" s="195">
        <v>104916.8</v>
      </c>
    </row>
    <row r="1279" spans="1:9" x14ac:dyDescent="0.2">
      <c r="A1279" s="193">
        <v>1844400843</v>
      </c>
      <c r="B1279" s="193" t="s">
        <v>1194</v>
      </c>
      <c r="D1279" s="195">
        <v>6400</v>
      </c>
      <c r="F1279" s="195">
        <v>19101</v>
      </c>
      <c r="H1279" s="195">
        <v>-9313</v>
      </c>
      <c r="I1279" s="195">
        <v>39294</v>
      </c>
    </row>
    <row r="1280" spans="1:9" x14ac:dyDescent="0.2">
      <c r="A1280" s="193">
        <v>1844400844</v>
      </c>
      <c r="B1280" s="193" t="s">
        <v>193</v>
      </c>
    </row>
    <row r="1281" spans="1:9" x14ac:dyDescent="0.2">
      <c r="A1281" s="193">
        <v>1844400845</v>
      </c>
      <c r="B1281" s="193" t="s">
        <v>425</v>
      </c>
      <c r="C1281" s="195">
        <v>30000</v>
      </c>
      <c r="D1281" s="195">
        <v>18609.03</v>
      </c>
      <c r="E1281" s="195">
        <v>30000</v>
      </c>
      <c r="F1281" s="195">
        <v>20074.009999999998</v>
      </c>
      <c r="G1281" s="195">
        <v>25395.94</v>
      </c>
      <c r="H1281" s="195">
        <v>26449.29</v>
      </c>
      <c r="I1281" s="195">
        <v>33121.440000000002</v>
      </c>
    </row>
    <row r="1282" spans="1:9" x14ac:dyDescent="0.2">
      <c r="A1282" s="193">
        <v>1844400846</v>
      </c>
      <c r="B1282" s="193" t="s">
        <v>60</v>
      </c>
      <c r="D1282" s="195">
        <v>-150</v>
      </c>
      <c r="F1282" s="195">
        <v>9901</v>
      </c>
    </row>
    <row r="1283" spans="1:9" x14ac:dyDescent="0.2">
      <c r="A1283" s="193">
        <v>1844400849</v>
      </c>
      <c r="B1283" s="193" t="s">
        <v>426</v>
      </c>
      <c r="C1283" s="195">
        <v>288360</v>
      </c>
      <c r="D1283" s="195">
        <v>181459</v>
      </c>
      <c r="E1283" s="195">
        <v>288360</v>
      </c>
      <c r="F1283" s="195">
        <v>248803</v>
      </c>
      <c r="G1283" s="195">
        <v>150999.71</v>
      </c>
      <c r="H1283" s="195">
        <v>156115.56</v>
      </c>
      <c r="I1283" s="195">
        <v>101028</v>
      </c>
    </row>
    <row r="1284" spans="1:9" x14ac:dyDescent="0.2">
      <c r="A1284" s="193">
        <v>1844400850</v>
      </c>
      <c r="B1284" s="193" t="s">
        <v>1195</v>
      </c>
      <c r="I1284" s="195">
        <v>26000</v>
      </c>
    </row>
    <row r="1285" spans="1:9" x14ac:dyDescent="0.2">
      <c r="A1285" s="193">
        <v>1844500840</v>
      </c>
      <c r="B1285" s="193" t="s">
        <v>427</v>
      </c>
      <c r="C1285" s="195">
        <v>664200</v>
      </c>
      <c r="D1285" s="195">
        <v>355618</v>
      </c>
      <c r="E1285" s="195">
        <v>664200</v>
      </c>
      <c r="F1285" s="195">
        <v>660174</v>
      </c>
      <c r="G1285" s="195">
        <v>654072</v>
      </c>
      <c r="H1285" s="195">
        <v>793174</v>
      </c>
      <c r="I1285" s="195">
        <v>716452</v>
      </c>
    </row>
    <row r="1286" spans="1:9" x14ac:dyDescent="0.2">
      <c r="A1286" s="193">
        <v>1844500843</v>
      </c>
      <c r="B1286" s="193" t="s">
        <v>1481</v>
      </c>
      <c r="C1286" s="195">
        <v>240000</v>
      </c>
      <c r="D1286" s="195">
        <v>180000</v>
      </c>
      <c r="E1286" s="195">
        <v>240000</v>
      </c>
      <c r="F1286" s="195">
        <v>200000</v>
      </c>
      <c r="G1286" s="195">
        <v>150000</v>
      </c>
      <c r="H1286" s="195">
        <v>133500</v>
      </c>
      <c r="I1286" s="195">
        <v>128351</v>
      </c>
    </row>
    <row r="1287" spans="1:9" x14ac:dyDescent="0.2">
      <c r="A1287" s="193">
        <v>1844500844</v>
      </c>
      <c r="B1287" s="193" t="s">
        <v>428</v>
      </c>
    </row>
    <row r="1288" spans="1:9" x14ac:dyDescent="0.2">
      <c r="A1288" s="193">
        <v>1845100840</v>
      </c>
      <c r="B1288" s="193" t="s">
        <v>429</v>
      </c>
      <c r="G1288" s="195">
        <v>10254351</v>
      </c>
      <c r="H1288" s="195">
        <v>9272794</v>
      </c>
      <c r="I1288" s="195">
        <v>9259991</v>
      </c>
    </row>
    <row r="1289" spans="1:9" x14ac:dyDescent="0.2">
      <c r="A1289" s="193">
        <v>1845100841</v>
      </c>
      <c r="B1289" s="193" t="s">
        <v>430</v>
      </c>
      <c r="G1289" s="195">
        <v>3268100</v>
      </c>
      <c r="H1289" s="195">
        <v>3500403</v>
      </c>
      <c r="I1289" s="195">
        <v>3360000</v>
      </c>
    </row>
    <row r="1290" spans="1:9" x14ac:dyDescent="0.2">
      <c r="A1290" s="193">
        <v>1845100842</v>
      </c>
      <c r="B1290" s="193" t="s">
        <v>431</v>
      </c>
      <c r="C1290" s="195">
        <v>740640</v>
      </c>
      <c r="D1290" s="195">
        <v>562873</v>
      </c>
      <c r="E1290" s="195">
        <v>740640</v>
      </c>
      <c r="F1290" s="195">
        <v>732107</v>
      </c>
      <c r="G1290" s="195">
        <v>729446</v>
      </c>
      <c r="H1290" s="195">
        <v>687365</v>
      </c>
      <c r="I1290" s="195">
        <v>480374</v>
      </c>
    </row>
    <row r="1291" spans="1:9" x14ac:dyDescent="0.2">
      <c r="A1291" s="193">
        <v>1845100843</v>
      </c>
      <c r="B1291" s="193" t="s">
        <v>432</v>
      </c>
      <c r="C1291" s="195">
        <v>60000</v>
      </c>
      <c r="D1291" s="195">
        <v>15008</v>
      </c>
      <c r="E1291" s="195">
        <v>60000</v>
      </c>
      <c r="F1291" s="195">
        <v>47848</v>
      </c>
      <c r="G1291" s="195">
        <v>53792</v>
      </c>
      <c r="H1291" s="195">
        <v>72117</v>
      </c>
      <c r="I1291" s="195">
        <v>48834</v>
      </c>
    </row>
    <row r="1292" spans="1:9" x14ac:dyDescent="0.2">
      <c r="A1292" s="193">
        <v>1845100844</v>
      </c>
      <c r="B1292" s="193" t="s">
        <v>1196</v>
      </c>
      <c r="C1292" s="195">
        <v>4000</v>
      </c>
      <c r="D1292" s="195">
        <v>6855</v>
      </c>
      <c r="E1292" s="195">
        <v>4000</v>
      </c>
      <c r="F1292" s="195">
        <v>4269</v>
      </c>
      <c r="G1292" s="195">
        <v>307</v>
      </c>
      <c r="H1292" s="195">
        <v>1280</v>
      </c>
      <c r="I1292" s="195">
        <v>2040</v>
      </c>
    </row>
    <row r="1293" spans="1:9" x14ac:dyDescent="0.2">
      <c r="A1293" s="193">
        <v>1845100845</v>
      </c>
      <c r="B1293" s="193" t="s">
        <v>433</v>
      </c>
      <c r="C1293" s="195">
        <v>26460</v>
      </c>
      <c r="D1293" s="195">
        <v>18776</v>
      </c>
      <c r="E1293" s="195">
        <v>26460</v>
      </c>
      <c r="F1293" s="195">
        <v>26298</v>
      </c>
      <c r="G1293" s="195">
        <v>24234</v>
      </c>
      <c r="H1293" s="195">
        <v>27355</v>
      </c>
      <c r="I1293" s="195">
        <v>34371</v>
      </c>
    </row>
    <row r="1294" spans="1:9" x14ac:dyDescent="0.2">
      <c r="A1294" s="193">
        <v>1845100846</v>
      </c>
      <c r="B1294" s="193" t="s">
        <v>434</v>
      </c>
      <c r="C1294" s="195">
        <v>162000</v>
      </c>
      <c r="D1294" s="195">
        <v>144325</v>
      </c>
      <c r="E1294" s="195">
        <v>162000</v>
      </c>
      <c r="G1294" s="195">
        <v>136822</v>
      </c>
      <c r="H1294" s="195">
        <v>120680</v>
      </c>
      <c r="I1294" s="195">
        <v>51711</v>
      </c>
    </row>
    <row r="1295" spans="1:9" x14ac:dyDescent="0.2">
      <c r="A1295" s="193">
        <v>1845100847</v>
      </c>
      <c r="B1295" s="193" t="s">
        <v>94</v>
      </c>
      <c r="C1295" s="195">
        <v>18348</v>
      </c>
      <c r="E1295" s="195">
        <v>18348</v>
      </c>
      <c r="F1295" s="195">
        <v>15290</v>
      </c>
    </row>
    <row r="1296" spans="1:9" x14ac:dyDescent="0.2">
      <c r="A1296" s="193">
        <v>1845100848</v>
      </c>
      <c r="B1296" s="193" t="s">
        <v>1412</v>
      </c>
      <c r="C1296" s="195">
        <v>45360</v>
      </c>
      <c r="D1296" s="195">
        <v>30327</v>
      </c>
      <c r="E1296" s="195">
        <v>45360</v>
      </c>
      <c r="F1296" s="195">
        <v>45351</v>
      </c>
      <c r="G1296" s="195">
        <v>46289</v>
      </c>
    </row>
    <row r="1297" spans="1:9" x14ac:dyDescent="0.2">
      <c r="A1297" s="193">
        <v>1845100849</v>
      </c>
      <c r="B1297" s="193" t="s">
        <v>1413</v>
      </c>
      <c r="D1297" s="195">
        <v>15244</v>
      </c>
      <c r="F1297" s="195">
        <v>5819</v>
      </c>
      <c r="G1297" s="195">
        <v>15233</v>
      </c>
    </row>
    <row r="1298" spans="1:9" x14ac:dyDescent="0.2">
      <c r="A1298" s="193">
        <v>1845100850</v>
      </c>
      <c r="B1298" s="193" t="s">
        <v>61</v>
      </c>
      <c r="C1298" s="195">
        <v>11189064</v>
      </c>
      <c r="D1298" s="195">
        <v>8051780</v>
      </c>
      <c r="E1298" s="195">
        <v>11189064</v>
      </c>
      <c r="F1298" s="195">
        <v>10971424</v>
      </c>
    </row>
    <row r="1299" spans="1:9" x14ac:dyDescent="0.2">
      <c r="A1299" s="193">
        <v>1845100851</v>
      </c>
      <c r="B1299" s="193" t="s">
        <v>86</v>
      </c>
      <c r="C1299" s="195">
        <v>3301200</v>
      </c>
      <c r="D1299" s="195">
        <v>2197503</v>
      </c>
      <c r="E1299" s="195">
        <v>3301200</v>
      </c>
      <c r="F1299" s="195">
        <v>3360181</v>
      </c>
    </row>
    <row r="1300" spans="1:9" x14ac:dyDescent="0.2">
      <c r="A1300" s="193">
        <v>1845100852</v>
      </c>
      <c r="B1300" s="193" t="s">
        <v>1480</v>
      </c>
    </row>
    <row r="1301" spans="1:9" x14ac:dyDescent="0.2">
      <c r="A1301" s="193">
        <v>1845200110</v>
      </c>
      <c r="B1301" s="193" t="s">
        <v>1013</v>
      </c>
      <c r="C1301" s="195">
        <v>78653</v>
      </c>
      <c r="D1301" s="195">
        <v>62788.52</v>
      </c>
      <c r="E1301" s="195">
        <v>78653</v>
      </c>
      <c r="F1301" s="195">
        <v>77951.649999999994</v>
      </c>
      <c r="G1301" s="195">
        <v>74750.14</v>
      </c>
      <c r="H1301" s="195">
        <v>76091.509999999995</v>
      </c>
      <c r="I1301" s="195">
        <v>69608.399999999994</v>
      </c>
    </row>
    <row r="1302" spans="1:9" x14ac:dyDescent="0.2">
      <c r="A1302" s="193">
        <v>1845200210</v>
      </c>
      <c r="B1302" s="193" t="s">
        <v>1014</v>
      </c>
      <c r="C1302" s="195">
        <v>251960</v>
      </c>
      <c r="D1302" s="195">
        <v>45224.23</v>
      </c>
      <c r="E1302" s="195">
        <v>251960</v>
      </c>
      <c r="F1302" s="195">
        <v>233486.1</v>
      </c>
      <c r="G1302" s="195">
        <v>257603.27</v>
      </c>
      <c r="H1302" s="195">
        <v>171946.59</v>
      </c>
      <c r="I1302" s="195">
        <v>128949.99</v>
      </c>
    </row>
    <row r="1303" spans="1:9" x14ac:dyDescent="0.2">
      <c r="A1303" s="193">
        <v>1845200840</v>
      </c>
      <c r="B1303" s="193" t="s">
        <v>1030</v>
      </c>
      <c r="F1303" s="195">
        <v>9608</v>
      </c>
      <c r="G1303" s="195">
        <v>51192</v>
      </c>
      <c r="H1303" s="195">
        <v>24431</v>
      </c>
      <c r="I1303" s="195">
        <v>40757.35</v>
      </c>
    </row>
    <row r="1304" spans="1:9" x14ac:dyDescent="0.2">
      <c r="A1304" s="193">
        <v>1845200841</v>
      </c>
      <c r="B1304" s="193" t="s">
        <v>1031</v>
      </c>
      <c r="D1304" s="195">
        <v>3283.71</v>
      </c>
      <c r="F1304" s="195">
        <v>14674.61</v>
      </c>
      <c r="G1304" s="195">
        <v>341326.89</v>
      </c>
      <c r="H1304" s="195">
        <v>240164.05</v>
      </c>
      <c r="I1304" s="195">
        <v>178286.05</v>
      </c>
    </row>
    <row r="1305" spans="1:9" x14ac:dyDescent="0.2">
      <c r="A1305" s="193">
        <v>1845200842</v>
      </c>
      <c r="B1305" s="193" t="s">
        <v>1032</v>
      </c>
      <c r="C1305" s="195">
        <v>768000</v>
      </c>
      <c r="D1305" s="195">
        <v>452431</v>
      </c>
      <c r="E1305" s="195">
        <v>768000</v>
      </c>
      <c r="F1305" s="195">
        <v>685532</v>
      </c>
      <c r="G1305" s="195">
        <v>631791</v>
      </c>
      <c r="H1305" s="195">
        <v>599314</v>
      </c>
      <c r="I1305" s="195">
        <v>633512</v>
      </c>
    </row>
    <row r="1306" spans="1:9" x14ac:dyDescent="0.2">
      <c r="A1306" s="193">
        <v>1845200843</v>
      </c>
      <c r="B1306" s="193" t="s">
        <v>194</v>
      </c>
    </row>
    <row r="1307" spans="1:9" x14ac:dyDescent="0.2">
      <c r="A1307" s="193">
        <v>1845200844</v>
      </c>
      <c r="B1307" s="193" t="s">
        <v>195</v>
      </c>
    </row>
    <row r="1308" spans="1:9" x14ac:dyDescent="0.2">
      <c r="A1308" s="193">
        <v>1845200845</v>
      </c>
      <c r="B1308" s="193" t="s">
        <v>438</v>
      </c>
    </row>
    <row r="1309" spans="1:9" x14ac:dyDescent="0.2">
      <c r="A1309" s="193">
        <v>1845200846</v>
      </c>
      <c r="B1309" s="193" t="s">
        <v>63</v>
      </c>
      <c r="C1309" s="195">
        <v>50880</v>
      </c>
      <c r="D1309" s="195">
        <v>44695.39</v>
      </c>
      <c r="E1309" s="195">
        <v>50880</v>
      </c>
      <c r="F1309" s="195">
        <v>69733.89</v>
      </c>
    </row>
    <row r="1310" spans="1:9" x14ac:dyDescent="0.2">
      <c r="A1310" s="193">
        <v>1845200847</v>
      </c>
      <c r="B1310" s="193" t="s">
        <v>64</v>
      </c>
      <c r="C1310" s="195">
        <v>466880</v>
      </c>
      <c r="D1310" s="195">
        <v>400468.3</v>
      </c>
      <c r="E1310" s="195">
        <v>466880</v>
      </c>
      <c r="F1310" s="195">
        <v>522038.41</v>
      </c>
    </row>
    <row r="1311" spans="1:9" x14ac:dyDescent="0.2">
      <c r="A1311" s="193">
        <v>1845300840</v>
      </c>
      <c r="B1311" s="193" t="s">
        <v>298</v>
      </c>
      <c r="F1311" s="195">
        <v>885</v>
      </c>
      <c r="G1311" s="195">
        <v>42173</v>
      </c>
      <c r="H1311" s="195">
        <v>41186</v>
      </c>
      <c r="I1311" s="195">
        <v>1515</v>
      </c>
    </row>
    <row r="1312" spans="1:9" x14ac:dyDescent="0.2">
      <c r="A1312" s="193">
        <v>1845300841</v>
      </c>
      <c r="B1312" s="193" t="s">
        <v>439</v>
      </c>
      <c r="C1312" s="195">
        <v>40800</v>
      </c>
      <c r="D1312" s="195">
        <v>8192</v>
      </c>
      <c r="E1312" s="195">
        <v>40800</v>
      </c>
      <c r="F1312" s="195">
        <v>27920</v>
      </c>
      <c r="G1312" s="195">
        <v>25024</v>
      </c>
      <c r="H1312" s="195">
        <v>34689</v>
      </c>
      <c r="I1312" s="195">
        <v>27162</v>
      </c>
    </row>
    <row r="1313" spans="1:9" x14ac:dyDescent="0.2">
      <c r="A1313" s="193">
        <v>1845300843</v>
      </c>
      <c r="B1313" s="193" t="s">
        <v>440</v>
      </c>
      <c r="F1313" s="195">
        <v>4059</v>
      </c>
      <c r="G1313" s="195">
        <v>26406</v>
      </c>
      <c r="H1313" s="195">
        <v>25370</v>
      </c>
      <c r="I1313" s="195">
        <v>24649</v>
      </c>
    </row>
    <row r="1314" spans="1:9" x14ac:dyDescent="0.2">
      <c r="A1314" s="193">
        <v>1845300844</v>
      </c>
      <c r="B1314" s="193" t="s">
        <v>1144</v>
      </c>
    </row>
    <row r="1315" spans="1:9" x14ac:dyDescent="0.2">
      <c r="A1315" s="193">
        <v>1845300845</v>
      </c>
      <c r="B1315" s="193" t="s">
        <v>441</v>
      </c>
      <c r="G1315" s="195">
        <v>466394</v>
      </c>
      <c r="H1315" s="195">
        <v>310859</v>
      </c>
      <c r="I1315" s="195">
        <v>295078</v>
      </c>
    </row>
    <row r="1316" spans="1:9" x14ac:dyDescent="0.2">
      <c r="A1316" s="193">
        <v>1845300846</v>
      </c>
      <c r="B1316" s="193" t="s">
        <v>87</v>
      </c>
      <c r="C1316" s="195">
        <v>15000</v>
      </c>
      <c r="D1316" s="195">
        <v>10392</v>
      </c>
      <c r="E1316" s="195">
        <v>15000</v>
      </c>
      <c r="F1316" s="195">
        <v>-2635.4</v>
      </c>
    </row>
    <row r="1317" spans="1:9" x14ac:dyDescent="0.2">
      <c r="A1317" s="193">
        <v>1845300847</v>
      </c>
      <c r="B1317" s="193" t="s">
        <v>65</v>
      </c>
      <c r="C1317" s="195">
        <v>480000</v>
      </c>
      <c r="D1317" s="195">
        <v>523294</v>
      </c>
      <c r="E1317" s="195">
        <v>480000</v>
      </c>
      <c r="F1317" s="195">
        <v>398918</v>
      </c>
    </row>
    <row r="1318" spans="1:9" x14ac:dyDescent="0.2">
      <c r="A1318" s="193">
        <v>1845300848</v>
      </c>
      <c r="B1318" s="193" t="s">
        <v>66</v>
      </c>
      <c r="C1318" s="195">
        <v>25920</v>
      </c>
      <c r="D1318" s="195">
        <v>18015</v>
      </c>
      <c r="E1318" s="195">
        <v>25920</v>
      </c>
      <c r="F1318" s="195">
        <v>21400</v>
      </c>
    </row>
    <row r="1319" spans="1:9" x14ac:dyDescent="0.2">
      <c r="A1319" s="193">
        <v>1846100840</v>
      </c>
      <c r="B1319" s="193" t="s">
        <v>442</v>
      </c>
      <c r="C1319" s="195">
        <v>153936</v>
      </c>
      <c r="D1319" s="195">
        <v>148255</v>
      </c>
      <c r="E1319" s="195">
        <v>153936</v>
      </c>
      <c r="F1319" s="195">
        <v>177776</v>
      </c>
      <c r="G1319" s="195">
        <v>115805</v>
      </c>
      <c r="H1319" s="195">
        <v>111444</v>
      </c>
      <c r="I1319" s="195">
        <v>108391</v>
      </c>
    </row>
    <row r="1320" spans="1:9" x14ac:dyDescent="0.2">
      <c r="A1320" s="193">
        <v>1846300840</v>
      </c>
      <c r="B1320" s="193" t="s">
        <v>196</v>
      </c>
    </row>
    <row r="1321" spans="1:9" x14ac:dyDescent="0.2">
      <c r="A1321" s="193">
        <v>1846300841</v>
      </c>
      <c r="B1321" s="193" t="s">
        <v>443</v>
      </c>
      <c r="C1321" s="195">
        <v>25000</v>
      </c>
      <c r="D1321" s="195">
        <v>27741</v>
      </c>
      <c r="E1321" s="195">
        <v>25000</v>
      </c>
      <c r="F1321" s="195">
        <v>26283</v>
      </c>
      <c r="G1321" s="195">
        <v>50868</v>
      </c>
      <c r="H1321" s="195">
        <v>41863</v>
      </c>
      <c r="I1321" s="195">
        <v>16642</v>
      </c>
    </row>
    <row r="1322" spans="1:9" x14ac:dyDescent="0.2">
      <c r="A1322" s="193">
        <v>1846300843</v>
      </c>
      <c r="B1322" s="193" t="s">
        <v>444</v>
      </c>
      <c r="C1322" s="195">
        <v>12300</v>
      </c>
      <c r="D1322" s="195">
        <v>4806.3900000000003</v>
      </c>
      <c r="E1322" s="195">
        <v>12300</v>
      </c>
      <c r="F1322" s="195">
        <v>13530.85</v>
      </c>
      <c r="G1322" s="195">
        <v>7892.62</v>
      </c>
      <c r="H1322" s="195">
        <v>9113.9500000000007</v>
      </c>
      <c r="I1322" s="195">
        <v>9250.84</v>
      </c>
    </row>
    <row r="1323" spans="1:9" x14ac:dyDescent="0.2">
      <c r="A1323" s="193">
        <v>1846400780</v>
      </c>
      <c r="B1323" s="193" t="s">
        <v>1033</v>
      </c>
      <c r="C1323" s="195">
        <v>7500</v>
      </c>
      <c r="D1323" s="195">
        <v>5137.74</v>
      </c>
      <c r="E1323" s="195">
        <v>7500</v>
      </c>
      <c r="F1323" s="195">
        <v>9277.6200000000008</v>
      </c>
      <c r="G1323" s="195">
        <v>9911.16</v>
      </c>
      <c r="H1323" s="195">
        <v>10583.06</v>
      </c>
      <c r="I1323" s="195">
        <v>11078.25</v>
      </c>
    </row>
    <row r="1324" spans="1:9" x14ac:dyDescent="0.2">
      <c r="A1324" s="193">
        <v>1846400840</v>
      </c>
      <c r="B1324" s="193" t="s">
        <v>1415</v>
      </c>
    </row>
    <row r="1325" spans="1:9" x14ac:dyDescent="0.2">
      <c r="A1325" s="193">
        <v>1846400841</v>
      </c>
      <c r="B1325" s="193" t="s">
        <v>445</v>
      </c>
      <c r="C1325" s="195">
        <v>50268</v>
      </c>
      <c r="D1325" s="195">
        <v>-11962</v>
      </c>
      <c r="E1325" s="195">
        <v>50268</v>
      </c>
      <c r="F1325" s="195">
        <v>46660</v>
      </c>
      <c r="G1325" s="195">
        <v>131577</v>
      </c>
      <c r="H1325" s="195">
        <v>107236</v>
      </c>
      <c r="I1325" s="195">
        <v>54726</v>
      </c>
    </row>
    <row r="1326" spans="1:9" x14ac:dyDescent="0.2">
      <c r="A1326" s="193">
        <v>1846500840</v>
      </c>
      <c r="B1326" s="193" t="s">
        <v>446</v>
      </c>
      <c r="C1326" s="195">
        <v>3270000</v>
      </c>
      <c r="D1326" s="195">
        <v>2052539</v>
      </c>
      <c r="E1326" s="195">
        <v>3270000</v>
      </c>
      <c r="F1326" s="195">
        <v>2518391</v>
      </c>
      <c r="G1326" s="195">
        <v>2401149</v>
      </c>
      <c r="H1326" s="195">
        <v>2209154</v>
      </c>
      <c r="I1326" s="195">
        <v>2211539</v>
      </c>
    </row>
    <row r="1327" spans="1:9" x14ac:dyDescent="0.2">
      <c r="A1327" s="193">
        <v>1846500841</v>
      </c>
      <c r="B1327" s="193" t="s">
        <v>1416</v>
      </c>
    </row>
    <row r="1328" spans="1:9" x14ac:dyDescent="0.2">
      <c r="A1328" s="193">
        <v>1846600840</v>
      </c>
      <c r="B1328" s="193" t="s">
        <v>1034</v>
      </c>
      <c r="C1328" s="195">
        <v>24720</v>
      </c>
      <c r="D1328" s="195">
        <v>11385</v>
      </c>
      <c r="E1328" s="195">
        <v>24720</v>
      </c>
      <c r="F1328" s="195">
        <v>12361</v>
      </c>
      <c r="G1328" s="195">
        <v>21319</v>
      </c>
      <c r="H1328" s="195">
        <v>71922</v>
      </c>
      <c r="I1328" s="195">
        <v>45296</v>
      </c>
    </row>
    <row r="1329" spans="1:9" x14ac:dyDescent="0.2">
      <c r="A1329" s="193">
        <v>1846600841</v>
      </c>
      <c r="B1329" s="193" t="s">
        <v>448</v>
      </c>
      <c r="C1329" s="195">
        <v>97920</v>
      </c>
      <c r="D1329" s="195">
        <v>52579</v>
      </c>
      <c r="E1329" s="195">
        <v>97920</v>
      </c>
      <c r="F1329" s="195">
        <v>58156</v>
      </c>
      <c r="G1329" s="195">
        <v>40681</v>
      </c>
      <c r="H1329" s="195">
        <v>95970</v>
      </c>
      <c r="I1329" s="195">
        <v>63611</v>
      </c>
    </row>
    <row r="1330" spans="1:9" x14ac:dyDescent="0.2">
      <c r="A1330" s="193">
        <v>1846600843</v>
      </c>
      <c r="B1330" s="193" t="s">
        <v>1479</v>
      </c>
    </row>
    <row r="1331" spans="1:9" x14ac:dyDescent="0.2">
      <c r="A1331" s="193">
        <v>1846700840</v>
      </c>
      <c r="B1331" s="193" t="s">
        <v>1035</v>
      </c>
      <c r="C1331" s="195">
        <v>24000</v>
      </c>
      <c r="D1331" s="195">
        <v>1062</v>
      </c>
      <c r="E1331" s="195">
        <v>24000</v>
      </c>
      <c r="F1331" s="195">
        <v>21978</v>
      </c>
      <c r="G1331" s="195">
        <v>25106</v>
      </c>
      <c r="H1331" s="195">
        <v>14094</v>
      </c>
    </row>
    <row r="1332" spans="1:9" x14ac:dyDescent="0.2">
      <c r="A1332" s="193">
        <v>1846700841</v>
      </c>
      <c r="B1332" s="193" t="s">
        <v>1417</v>
      </c>
      <c r="C1332" s="195">
        <v>11196</v>
      </c>
      <c r="E1332" s="195">
        <v>11196</v>
      </c>
      <c r="F1332" s="195">
        <v>-1660</v>
      </c>
      <c r="G1332" s="195">
        <v>18720</v>
      </c>
      <c r="H1332" s="195">
        <v>4038</v>
      </c>
    </row>
    <row r="1333" spans="1:9" x14ac:dyDescent="0.2">
      <c r="A1333" s="193">
        <v>1846700843</v>
      </c>
      <c r="B1333" s="193" t="s">
        <v>303</v>
      </c>
      <c r="C1333" s="195">
        <v>175392</v>
      </c>
      <c r="D1333" s="195">
        <v>88329</v>
      </c>
      <c r="E1333" s="195">
        <v>175392</v>
      </c>
      <c r="F1333" s="195">
        <v>202045</v>
      </c>
      <c r="G1333" s="195">
        <v>237260</v>
      </c>
      <c r="H1333" s="195">
        <v>203409</v>
      </c>
      <c r="I1333" s="195">
        <v>445631</v>
      </c>
    </row>
    <row r="1334" spans="1:9" x14ac:dyDescent="0.2">
      <c r="A1334" s="193">
        <v>1846700844</v>
      </c>
      <c r="B1334" s="193" t="s">
        <v>450</v>
      </c>
      <c r="C1334" s="195">
        <v>342000</v>
      </c>
      <c r="D1334" s="195">
        <v>158253.32</v>
      </c>
      <c r="E1334" s="195">
        <v>342000</v>
      </c>
      <c r="F1334" s="195">
        <v>209901.61</v>
      </c>
      <c r="G1334" s="195">
        <v>238742.13</v>
      </c>
      <c r="H1334" s="195">
        <v>281430</v>
      </c>
      <c r="I1334" s="195">
        <v>318597</v>
      </c>
    </row>
    <row r="1335" spans="1:9" x14ac:dyDescent="0.2">
      <c r="A1335" s="193">
        <v>1846700845</v>
      </c>
      <c r="B1335" s="193" t="s">
        <v>451</v>
      </c>
      <c r="F1335" s="195">
        <v>13200</v>
      </c>
      <c r="G1335" s="195">
        <v>82892.84</v>
      </c>
      <c r="H1335" s="195">
        <v>136999.38</v>
      </c>
      <c r="I1335" s="195">
        <v>154999.74</v>
      </c>
    </row>
    <row r="1336" spans="1:9" x14ac:dyDescent="0.2">
      <c r="A1336" s="193">
        <v>1846700846</v>
      </c>
      <c r="B1336" s="193" t="s">
        <v>452</v>
      </c>
      <c r="C1336" s="195">
        <v>17000</v>
      </c>
      <c r="D1336" s="195">
        <v>13260</v>
      </c>
      <c r="E1336" s="195">
        <v>17000</v>
      </c>
      <c r="F1336" s="195">
        <v>17989</v>
      </c>
    </row>
    <row r="1337" spans="1:9" x14ac:dyDescent="0.2">
      <c r="A1337" s="193">
        <v>1846700847</v>
      </c>
      <c r="B1337" s="193" t="s">
        <v>453</v>
      </c>
      <c r="G1337" s="195">
        <v>417</v>
      </c>
      <c r="H1337" s="195">
        <v>792</v>
      </c>
      <c r="I1337" s="195">
        <v>4683</v>
      </c>
    </row>
    <row r="1338" spans="1:9" x14ac:dyDescent="0.2">
      <c r="A1338" s="193">
        <v>1846700848</v>
      </c>
      <c r="B1338" s="193" t="s">
        <v>454</v>
      </c>
      <c r="C1338" s="195">
        <v>180000</v>
      </c>
      <c r="D1338" s="195">
        <v>138875</v>
      </c>
      <c r="E1338" s="195">
        <v>180000</v>
      </c>
      <c r="F1338" s="195">
        <v>177966</v>
      </c>
      <c r="G1338" s="195">
        <v>69471</v>
      </c>
      <c r="H1338" s="195">
        <v>5008</v>
      </c>
      <c r="I1338" s="195">
        <v>12620</v>
      </c>
    </row>
    <row r="1339" spans="1:9" x14ac:dyDescent="0.2">
      <c r="A1339" s="193">
        <v>1846700849</v>
      </c>
      <c r="B1339" s="193" t="s">
        <v>88</v>
      </c>
      <c r="C1339" s="195">
        <v>106224</v>
      </c>
      <c r="D1339" s="195">
        <v>65989</v>
      </c>
      <c r="E1339" s="195">
        <v>106224</v>
      </c>
      <c r="F1339" s="195">
        <v>41295</v>
      </c>
    </row>
    <row r="1340" spans="1:9" x14ac:dyDescent="0.2">
      <c r="A1340" s="193">
        <v>1846800841</v>
      </c>
      <c r="B1340" s="193" t="s">
        <v>197</v>
      </c>
    </row>
    <row r="1341" spans="1:9" x14ac:dyDescent="0.2">
      <c r="A1341" s="193">
        <v>1846800842</v>
      </c>
      <c r="B1341" s="193" t="s">
        <v>455</v>
      </c>
      <c r="C1341" s="195">
        <v>36600</v>
      </c>
      <c r="D1341" s="195">
        <v>25274</v>
      </c>
      <c r="E1341" s="195">
        <v>36600</v>
      </c>
      <c r="F1341" s="195">
        <v>18468</v>
      </c>
      <c r="G1341" s="195">
        <v>9100</v>
      </c>
      <c r="H1341" s="195">
        <v>7170</v>
      </c>
      <c r="I1341" s="195">
        <v>15793</v>
      </c>
    </row>
    <row r="1342" spans="1:9" x14ac:dyDescent="0.2">
      <c r="A1342" s="193">
        <v>1846800843</v>
      </c>
      <c r="B1342" s="193" t="s">
        <v>456</v>
      </c>
      <c r="C1342" s="195">
        <v>65340</v>
      </c>
      <c r="D1342" s="195">
        <v>64411</v>
      </c>
      <c r="E1342" s="195">
        <v>65340</v>
      </c>
      <c r="F1342" s="195">
        <v>110638</v>
      </c>
      <c r="G1342" s="195">
        <v>103412</v>
      </c>
      <c r="H1342" s="195">
        <v>291008</v>
      </c>
      <c r="I1342" s="195">
        <v>845203</v>
      </c>
    </row>
    <row r="1343" spans="1:9" x14ac:dyDescent="0.2">
      <c r="A1343" s="193">
        <v>1846800844</v>
      </c>
      <c r="B1343" s="193" t="s">
        <v>457</v>
      </c>
      <c r="C1343" s="195">
        <v>14400</v>
      </c>
      <c r="D1343" s="195">
        <v>7428.86</v>
      </c>
      <c r="E1343" s="195">
        <v>14400</v>
      </c>
      <c r="F1343" s="195">
        <v>23733.88</v>
      </c>
      <c r="G1343" s="195">
        <v>24401.87</v>
      </c>
      <c r="H1343" s="195">
        <v>42013.8</v>
      </c>
      <c r="I1343" s="195">
        <v>39133.599999999999</v>
      </c>
    </row>
    <row r="1344" spans="1:9" x14ac:dyDescent="0.2">
      <c r="A1344" s="193">
        <v>1846800845</v>
      </c>
      <c r="B1344" s="193" t="s">
        <v>458</v>
      </c>
      <c r="G1344" s="195">
        <v>140747</v>
      </c>
      <c r="H1344" s="195">
        <v>142075</v>
      </c>
      <c r="I1344" s="195">
        <v>147437</v>
      </c>
    </row>
    <row r="1345" spans="1:9" x14ac:dyDescent="0.2">
      <c r="A1345" s="193">
        <v>1846800846</v>
      </c>
      <c r="B1345" s="193" t="s">
        <v>459</v>
      </c>
      <c r="C1345" s="195">
        <v>328320</v>
      </c>
      <c r="D1345" s="195">
        <v>181358</v>
      </c>
      <c r="E1345" s="195">
        <v>328320</v>
      </c>
      <c r="F1345" s="195">
        <v>265711</v>
      </c>
      <c r="G1345" s="195">
        <v>256541</v>
      </c>
      <c r="H1345" s="195">
        <v>226539</v>
      </c>
      <c r="I1345" s="195">
        <v>136767</v>
      </c>
    </row>
    <row r="1346" spans="1:9" x14ac:dyDescent="0.2">
      <c r="A1346" s="193">
        <v>1846800847</v>
      </c>
      <c r="B1346" s="193" t="s">
        <v>1419</v>
      </c>
      <c r="G1346" s="195">
        <v>11726</v>
      </c>
    </row>
    <row r="1347" spans="1:9" x14ac:dyDescent="0.2">
      <c r="A1347" s="193">
        <v>1846800849</v>
      </c>
      <c r="B1347" s="193" t="s">
        <v>460</v>
      </c>
    </row>
    <row r="1348" spans="1:9" x14ac:dyDescent="0.2">
      <c r="A1348" s="193">
        <v>1846800850</v>
      </c>
      <c r="B1348" s="193" t="s">
        <v>67</v>
      </c>
      <c r="C1348" s="195">
        <v>153600</v>
      </c>
      <c r="D1348" s="195">
        <v>99989</v>
      </c>
      <c r="E1348" s="195">
        <v>153600</v>
      </c>
      <c r="F1348" s="195">
        <v>151667</v>
      </c>
    </row>
    <row r="1349" spans="1:9" x14ac:dyDescent="0.2">
      <c r="A1349" s="193">
        <v>1846800851</v>
      </c>
      <c r="B1349" s="193" t="s">
        <v>68</v>
      </c>
      <c r="F1349" s="195">
        <v>-430</v>
      </c>
    </row>
    <row r="1350" spans="1:9" x14ac:dyDescent="0.2">
      <c r="A1350" s="193">
        <v>1847100780</v>
      </c>
      <c r="B1350" s="193" t="s">
        <v>1036</v>
      </c>
      <c r="G1350" s="195">
        <v>24000</v>
      </c>
      <c r="H1350" s="195">
        <v>22800</v>
      </c>
      <c r="I1350" s="195">
        <v>23400</v>
      </c>
    </row>
    <row r="1351" spans="1:9" x14ac:dyDescent="0.2">
      <c r="A1351" s="193">
        <v>1847100840</v>
      </c>
      <c r="B1351" s="193" t="s">
        <v>1420</v>
      </c>
    </row>
    <row r="1352" spans="1:9" x14ac:dyDescent="0.2">
      <c r="A1352" s="193">
        <v>1847100841</v>
      </c>
      <c r="B1352" s="193" t="s">
        <v>461</v>
      </c>
      <c r="C1352" s="195">
        <v>265000</v>
      </c>
      <c r="D1352" s="195">
        <v>199476.65</v>
      </c>
      <c r="E1352" s="195">
        <v>265000</v>
      </c>
      <c r="F1352" s="195">
        <v>178063.41</v>
      </c>
      <c r="G1352" s="195">
        <v>132071.41</v>
      </c>
      <c r="H1352" s="195">
        <v>82308.070000000007</v>
      </c>
      <c r="I1352" s="195">
        <v>49467.360000000001</v>
      </c>
    </row>
    <row r="1353" spans="1:9" x14ac:dyDescent="0.2">
      <c r="A1353" s="193">
        <v>1847100842</v>
      </c>
      <c r="B1353" s="193" t="s">
        <v>1198</v>
      </c>
    </row>
    <row r="1354" spans="1:9" x14ac:dyDescent="0.2">
      <c r="A1354" s="193">
        <v>1847100843</v>
      </c>
      <c r="B1354" s="193" t="s">
        <v>462</v>
      </c>
      <c r="C1354" s="195">
        <v>207720</v>
      </c>
      <c r="D1354" s="195">
        <v>89153.58</v>
      </c>
      <c r="E1354" s="195">
        <v>207720</v>
      </c>
      <c r="F1354" s="195">
        <v>191111.81</v>
      </c>
      <c r="G1354" s="195">
        <v>135954.20000000001</v>
      </c>
      <c r="H1354" s="195">
        <v>134883.68</v>
      </c>
      <c r="I1354" s="195">
        <v>132364.60999999999</v>
      </c>
    </row>
    <row r="1355" spans="1:9" x14ac:dyDescent="0.2">
      <c r="A1355" s="193">
        <v>1847100844</v>
      </c>
      <c r="B1355" s="193" t="s">
        <v>463</v>
      </c>
    </row>
    <row r="1356" spans="1:9" x14ac:dyDescent="0.2">
      <c r="A1356" s="193">
        <v>1847100845</v>
      </c>
      <c r="B1356" s="193" t="s">
        <v>1421</v>
      </c>
      <c r="C1356" s="195">
        <v>94800</v>
      </c>
      <c r="D1356" s="195">
        <v>9809.67</v>
      </c>
      <c r="E1356" s="195">
        <v>94800</v>
      </c>
      <c r="F1356" s="195">
        <v>25519.1</v>
      </c>
      <c r="G1356" s="195">
        <v>261598.88</v>
      </c>
      <c r="H1356" s="195">
        <v>165238.47</v>
      </c>
      <c r="I1356" s="195">
        <v>96869.46</v>
      </c>
    </row>
    <row r="1357" spans="1:9" x14ac:dyDescent="0.2">
      <c r="A1357" s="193">
        <v>1847100846</v>
      </c>
      <c r="B1357" s="193" t="s">
        <v>50</v>
      </c>
      <c r="C1357" s="195">
        <v>43740</v>
      </c>
      <c r="D1357" s="195">
        <v>29300</v>
      </c>
      <c r="E1357" s="195">
        <v>43740</v>
      </c>
      <c r="F1357" s="195">
        <v>35261</v>
      </c>
      <c r="G1357" s="195">
        <v>19167</v>
      </c>
    </row>
    <row r="1358" spans="1:9" x14ac:dyDescent="0.2">
      <c r="A1358" s="193">
        <v>1847100847</v>
      </c>
      <c r="B1358" s="193" t="s">
        <v>198</v>
      </c>
    </row>
    <row r="1359" spans="1:9" x14ac:dyDescent="0.2">
      <c r="A1359" s="193">
        <v>1847100848</v>
      </c>
      <c r="B1359" s="193" t="s">
        <v>1422</v>
      </c>
    </row>
    <row r="1360" spans="1:9" x14ac:dyDescent="0.2">
      <c r="A1360" s="193">
        <v>1847100850</v>
      </c>
      <c r="B1360" s="193" t="s">
        <v>1145</v>
      </c>
      <c r="C1360" s="195">
        <v>38400</v>
      </c>
      <c r="D1360" s="195">
        <v>36226</v>
      </c>
      <c r="E1360" s="195">
        <v>38400</v>
      </c>
      <c r="F1360" s="195">
        <v>28802</v>
      </c>
      <c r="G1360" s="195">
        <v>75422</v>
      </c>
    </row>
    <row r="1361" spans="1:9" x14ac:dyDescent="0.2">
      <c r="A1361" s="193">
        <v>1847100851</v>
      </c>
      <c r="B1361" s="193" t="s">
        <v>465</v>
      </c>
      <c r="H1361" s="195">
        <v>16110</v>
      </c>
      <c r="I1361" s="195">
        <v>33590</v>
      </c>
    </row>
    <row r="1362" spans="1:9" x14ac:dyDescent="0.2">
      <c r="A1362" s="193">
        <v>1847100852</v>
      </c>
      <c r="B1362" s="193" t="s">
        <v>69</v>
      </c>
      <c r="C1362" s="195">
        <v>27120</v>
      </c>
      <c r="E1362" s="195">
        <v>27120</v>
      </c>
      <c r="F1362" s="195">
        <v>19847</v>
      </c>
    </row>
    <row r="1363" spans="1:9" x14ac:dyDescent="0.2">
      <c r="A1363" s="193">
        <v>1847110842</v>
      </c>
      <c r="B1363" s="193" t="s">
        <v>464</v>
      </c>
      <c r="C1363" s="195">
        <v>80000</v>
      </c>
      <c r="D1363" s="195">
        <v>55259.38</v>
      </c>
      <c r="E1363" s="195">
        <v>80000</v>
      </c>
      <c r="F1363" s="195">
        <v>78228.7</v>
      </c>
      <c r="G1363" s="195">
        <v>86514.69</v>
      </c>
      <c r="H1363" s="195">
        <v>66735.5</v>
      </c>
      <c r="I1363" s="195">
        <v>54270.01</v>
      </c>
    </row>
    <row r="1364" spans="1:9" x14ac:dyDescent="0.2">
      <c r="A1364" s="193">
        <v>1847200840</v>
      </c>
      <c r="B1364" s="193" t="s">
        <v>1423</v>
      </c>
    </row>
    <row r="1365" spans="1:9" x14ac:dyDescent="0.2">
      <c r="A1365" s="193">
        <v>1847300810</v>
      </c>
      <c r="B1365" s="193" t="s">
        <v>1038</v>
      </c>
      <c r="H1365" s="195">
        <v>15869</v>
      </c>
    </row>
    <row r="1366" spans="1:9" x14ac:dyDescent="0.2">
      <c r="A1366" s="193">
        <v>1847300840</v>
      </c>
      <c r="B1366" s="193" t="s">
        <v>466</v>
      </c>
      <c r="C1366" s="195">
        <v>8000</v>
      </c>
      <c r="D1366" s="195">
        <v>3663.75</v>
      </c>
      <c r="E1366" s="195">
        <v>8000</v>
      </c>
      <c r="F1366" s="195">
        <v>8000</v>
      </c>
      <c r="G1366" s="195">
        <v>8005.5</v>
      </c>
      <c r="H1366" s="195">
        <v>7963</v>
      </c>
      <c r="I1366" s="195">
        <v>8022.4</v>
      </c>
    </row>
    <row r="1367" spans="1:9" x14ac:dyDescent="0.2">
      <c r="A1367" s="193">
        <v>1847300842</v>
      </c>
      <c r="B1367" s="193" t="s">
        <v>467</v>
      </c>
      <c r="C1367" s="195">
        <v>5000</v>
      </c>
      <c r="E1367" s="195">
        <v>5000</v>
      </c>
      <c r="G1367" s="195">
        <v>3050</v>
      </c>
      <c r="H1367" s="195">
        <v>21857</v>
      </c>
      <c r="I1367" s="195">
        <v>16146</v>
      </c>
    </row>
    <row r="1368" spans="1:9" x14ac:dyDescent="0.2">
      <c r="A1368" s="193">
        <v>1847300843</v>
      </c>
      <c r="B1368" s="193" t="s">
        <v>199</v>
      </c>
    </row>
    <row r="1369" spans="1:9" x14ac:dyDescent="0.2">
      <c r="A1369" s="193">
        <v>1847300844</v>
      </c>
      <c r="B1369" s="193" t="s">
        <v>1252</v>
      </c>
      <c r="H1369" s="195">
        <v>107792</v>
      </c>
      <c r="I1369" s="195">
        <v>82782</v>
      </c>
    </row>
    <row r="1370" spans="1:9" x14ac:dyDescent="0.2">
      <c r="A1370" s="193">
        <v>1847300845</v>
      </c>
      <c r="B1370" s="193" t="s">
        <v>469</v>
      </c>
      <c r="C1370" s="195">
        <v>10000</v>
      </c>
      <c r="E1370" s="195">
        <v>10000</v>
      </c>
      <c r="I1370" s="195">
        <v>7666</v>
      </c>
    </row>
    <row r="1371" spans="1:9" x14ac:dyDescent="0.2">
      <c r="A1371" s="193">
        <v>1847300846</v>
      </c>
      <c r="B1371" s="193" t="s">
        <v>1425</v>
      </c>
      <c r="C1371" s="195">
        <v>120900</v>
      </c>
      <c r="D1371" s="195">
        <v>141785</v>
      </c>
      <c r="E1371" s="195">
        <v>120900</v>
      </c>
      <c r="F1371" s="195">
        <v>134957</v>
      </c>
      <c r="G1371" s="195">
        <v>171549</v>
      </c>
    </row>
    <row r="1372" spans="1:9" x14ac:dyDescent="0.2">
      <c r="A1372" s="193">
        <v>1847300847</v>
      </c>
      <c r="B1372" s="193" t="s">
        <v>89</v>
      </c>
      <c r="C1372" s="195">
        <v>18918</v>
      </c>
      <c r="D1372" s="195">
        <v>14886</v>
      </c>
      <c r="E1372" s="195">
        <v>18918</v>
      </c>
      <c r="F1372" s="195">
        <v>20932</v>
      </c>
    </row>
    <row r="1373" spans="1:9" x14ac:dyDescent="0.2">
      <c r="A1373" s="193">
        <v>1847300848</v>
      </c>
      <c r="B1373" s="193" t="s">
        <v>1478</v>
      </c>
      <c r="D1373" s="195">
        <v>5261</v>
      </c>
    </row>
    <row r="1374" spans="1:9" x14ac:dyDescent="0.2">
      <c r="A1374" s="193">
        <v>1847400422</v>
      </c>
      <c r="B1374" s="193" t="s">
        <v>1039</v>
      </c>
      <c r="C1374" s="195">
        <v>65000</v>
      </c>
      <c r="D1374" s="195">
        <v>35258.36</v>
      </c>
      <c r="E1374" s="195">
        <v>65000</v>
      </c>
      <c r="F1374" s="195">
        <v>56835.31</v>
      </c>
      <c r="G1374" s="195">
        <v>66249.210000000006</v>
      </c>
      <c r="H1374" s="195">
        <v>54527.41</v>
      </c>
      <c r="I1374" s="195">
        <v>35336.629999999997</v>
      </c>
    </row>
    <row r="1375" spans="1:9" x14ac:dyDescent="0.2">
      <c r="A1375" s="193">
        <v>1847400540</v>
      </c>
      <c r="B1375" s="193" t="s">
        <v>875</v>
      </c>
      <c r="C1375" s="195">
        <v>6000</v>
      </c>
      <c r="D1375" s="195">
        <v>3004.96</v>
      </c>
      <c r="E1375" s="195">
        <v>6000</v>
      </c>
      <c r="F1375" s="195">
        <v>5878.03</v>
      </c>
      <c r="G1375" s="195">
        <v>5713.3</v>
      </c>
      <c r="H1375" s="195">
        <v>4872.88</v>
      </c>
      <c r="I1375" s="195">
        <v>3630.53</v>
      </c>
    </row>
    <row r="1376" spans="1:9" x14ac:dyDescent="0.2">
      <c r="A1376" s="193">
        <v>1847400560</v>
      </c>
      <c r="B1376" s="193" t="s">
        <v>1040</v>
      </c>
      <c r="C1376" s="195">
        <v>5500</v>
      </c>
      <c r="D1376" s="195">
        <v>4476.34</v>
      </c>
      <c r="E1376" s="195">
        <v>5500</v>
      </c>
      <c r="F1376" s="195">
        <v>3657.52</v>
      </c>
      <c r="G1376" s="195">
        <v>1695.81</v>
      </c>
      <c r="H1376" s="195">
        <v>709.32</v>
      </c>
    </row>
    <row r="1377" spans="1:9" x14ac:dyDescent="0.2">
      <c r="A1377" s="193">
        <v>1847400720</v>
      </c>
      <c r="B1377" s="193" t="s">
        <v>689</v>
      </c>
      <c r="C1377" s="195">
        <v>10500</v>
      </c>
      <c r="D1377" s="195">
        <v>10000</v>
      </c>
      <c r="E1377" s="195">
        <v>10500</v>
      </c>
      <c r="F1377" s="195">
        <v>9812</v>
      </c>
      <c r="G1377" s="195">
        <v>16956</v>
      </c>
      <c r="H1377" s="195">
        <v>6323.25</v>
      </c>
      <c r="I1377" s="195">
        <v>27971.26</v>
      </c>
    </row>
    <row r="1378" spans="1:9" x14ac:dyDescent="0.2">
      <c r="A1378" s="193">
        <v>1847400780</v>
      </c>
      <c r="B1378" s="193" t="s">
        <v>580</v>
      </c>
    </row>
    <row r="1379" spans="1:9" x14ac:dyDescent="0.2">
      <c r="A1379" s="193">
        <v>1847400840</v>
      </c>
      <c r="B1379" s="193" t="s">
        <v>200</v>
      </c>
      <c r="D1379" s="195">
        <v>4322</v>
      </c>
      <c r="F1379" s="195">
        <v>4266</v>
      </c>
      <c r="G1379" s="195">
        <v>4219</v>
      </c>
      <c r="H1379" s="195">
        <v>481.26</v>
      </c>
    </row>
    <row r="1380" spans="1:9" x14ac:dyDescent="0.2">
      <c r="A1380" s="193">
        <v>1847400841</v>
      </c>
      <c r="B1380" s="193" t="s">
        <v>1041</v>
      </c>
      <c r="C1380" s="195">
        <v>166000</v>
      </c>
      <c r="D1380" s="195">
        <v>103345.63</v>
      </c>
      <c r="E1380" s="195">
        <v>166000</v>
      </c>
      <c r="F1380" s="195">
        <v>145522.89000000001</v>
      </c>
      <c r="G1380" s="195">
        <v>143821.41</v>
      </c>
      <c r="H1380" s="195">
        <v>173143.89</v>
      </c>
      <c r="I1380" s="195">
        <v>144859.99</v>
      </c>
    </row>
    <row r="1381" spans="1:9" x14ac:dyDescent="0.2">
      <c r="A1381" s="193">
        <v>1847400843</v>
      </c>
      <c r="B1381" s="193" t="s">
        <v>1042</v>
      </c>
      <c r="C1381" s="195">
        <v>30000</v>
      </c>
      <c r="D1381" s="195">
        <v>30000</v>
      </c>
      <c r="E1381" s="195">
        <v>30000</v>
      </c>
      <c r="F1381" s="195">
        <v>35000</v>
      </c>
      <c r="G1381" s="195">
        <v>30000</v>
      </c>
      <c r="H1381" s="195">
        <v>30000</v>
      </c>
      <c r="I1381" s="195">
        <v>21600</v>
      </c>
    </row>
    <row r="1382" spans="1:9" x14ac:dyDescent="0.2">
      <c r="A1382" s="193">
        <v>1847400844</v>
      </c>
      <c r="B1382" s="193" t="s">
        <v>1043</v>
      </c>
      <c r="C1382" s="195">
        <v>10000</v>
      </c>
      <c r="E1382" s="195">
        <v>10000</v>
      </c>
      <c r="F1382" s="195">
        <v>5700</v>
      </c>
      <c r="G1382" s="195">
        <v>9400</v>
      </c>
      <c r="H1382" s="195">
        <v>8892</v>
      </c>
      <c r="I1382" s="195">
        <v>14616</v>
      </c>
    </row>
    <row r="1383" spans="1:9" x14ac:dyDescent="0.2">
      <c r="A1383" s="193">
        <v>1847400845</v>
      </c>
      <c r="B1383" s="193" t="s">
        <v>473</v>
      </c>
      <c r="C1383" s="195">
        <v>30000</v>
      </c>
      <c r="D1383" s="195">
        <v>25542.38</v>
      </c>
      <c r="E1383" s="195">
        <v>30000</v>
      </c>
      <c r="F1383" s="195">
        <v>22859.09</v>
      </c>
      <c r="G1383" s="195">
        <v>27000</v>
      </c>
      <c r="H1383" s="195">
        <v>37830</v>
      </c>
      <c r="I1383" s="195">
        <v>1500</v>
      </c>
    </row>
    <row r="1384" spans="1:9" x14ac:dyDescent="0.2">
      <c r="A1384" s="193">
        <v>1847401110</v>
      </c>
      <c r="B1384" s="193" t="s">
        <v>1015</v>
      </c>
      <c r="C1384" s="195">
        <v>241206</v>
      </c>
      <c r="D1384" s="195">
        <v>197498.55</v>
      </c>
      <c r="E1384" s="195">
        <v>241206</v>
      </c>
      <c r="F1384" s="195">
        <v>239291.32</v>
      </c>
      <c r="G1384" s="195">
        <v>234237.95</v>
      </c>
      <c r="H1384" s="195">
        <v>209876.25</v>
      </c>
      <c r="I1384" s="195">
        <v>194109.58</v>
      </c>
    </row>
    <row r="1385" spans="1:9" x14ac:dyDescent="0.2">
      <c r="A1385" s="193">
        <v>1847402110</v>
      </c>
      <c r="B1385" s="193" t="s">
        <v>1016</v>
      </c>
      <c r="C1385" s="195">
        <v>160139</v>
      </c>
      <c r="D1385" s="195">
        <v>99695.51</v>
      </c>
      <c r="E1385" s="195">
        <v>160139</v>
      </c>
      <c r="F1385" s="195">
        <v>145976.37</v>
      </c>
      <c r="G1385" s="195">
        <v>156330.35</v>
      </c>
      <c r="H1385" s="195">
        <v>115521.34</v>
      </c>
      <c r="I1385" s="195">
        <v>85419.83</v>
      </c>
    </row>
    <row r="1386" spans="1:9" x14ac:dyDescent="0.2">
      <c r="A1386" s="193">
        <v>1847404110</v>
      </c>
      <c r="B1386" s="193" t="s">
        <v>1017</v>
      </c>
      <c r="C1386" s="195">
        <v>112967</v>
      </c>
      <c r="D1386" s="195">
        <v>86718.13</v>
      </c>
      <c r="E1386" s="195">
        <v>112967</v>
      </c>
      <c r="F1386" s="195">
        <v>97969.5</v>
      </c>
      <c r="G1386" s="195">
        <v>124119.41</v>
      </c>
      <c r="H1386" s="195">
        <v>102543.78</v>
      </c>
      <c r="I1386" s="195">
        <v>99924.51</v>
      </c>
    </row>
    <row r="1387" spans="1:9" x14ac:dyDescent="0.2">
      <c r="A1387" s="193">
        <v>1847405110</v>
      </c>
      <c r="B1387" s="193" t="s">
        <v>1018</v>
      </c>
      <c r="D1387" s="195">
        <v>418.86</v>
      </c>
      <c r="F1387" s="195">
        <v>126534.2</v>
      </c>
      <c r="G1387" s="195">
        <v>110890.91</v>
      </c>
      <c r="H1387" s="195">
        <v>108713.21</v>
      </c>
      <c r="I1387" s="195">
        <v>103377.09</v>
      </c>
    </row>
    <row r="1388" spans="1:9" x14ac:dyDescent="0.2">
      <c r="A1388" s="193">
        <v>1847411110</v>
      </c>
      <c r="B1388" s="193" t="s">
        <v>1019</v>
      </c>
      <c r="C1388" s="195">
        <v>133229</v>
      </c>
      <c r="D1388" s="195">
        <v>81635.75</v>
      </c>
      <c r="E1388" s="195">
        <v>133229</v>
      </c>
      <c r="F1388" s="195">
        <v>84016.66</v>
      </c>
      <c r="G1388" s="195">
        <v>93463.360000000001</v>
      </c>
      <c r="H1388" s="195">
        <v>90263.5</v>
      </c>
      <c r="I1388" s="195">
        <v>70985.98</v>
      </c>
    </row>
    <row r="1389" spans="1:9" x14ac:dyDescent="0.2">
      <c r="A1389" s="193">
        <v>1847411210</v>
      </c>
      <c r="B1389" s="193" t="s">
        <v>1477</v>
      </c>
      <c r="D1389" s="195">
        <v>9846.42</v>
      </c>
    </row>
    <row r="1390" spans="1:9" x14ac:dyDescent="0.2">
      <c r="A1390" s="193">
        <v>1847411750</v>
      </c>
      <c r="B1390" s="193" t="s">
        <v>1044</v>
      </c>
      <c r="F1390" s="195">
        <v>62416</v>
      </c>
      <c r="G1390" s="195">
        <v>55379</v>
      </c>
      <c r="H1390" s="195">
        <v>36106</v>
      </c>
      <c r="I1390" s="195">
        <v>44094</v>
      </c>
    </row>
    <row r="1391" spans="1:9" x14ac:dyDescent="0.2">
      <c r="A1391" s="193">
        <v>1847428110</v>
      </c>
      <c r="B1391" s="193" t="s">
        <v>919</v>
      </c>
      <c r="C1391" s="195">
        <v>537996</v>
      </c>
      <c r="D1391" s="195">
        <v>299486.59999999998</v>
      </c>
      <c r="E1391" s="195">
        <v>537996</v>
      </c>
      <c r="F1391" s="195">
        <v>517459.1</v>
      </c>
      <c r="G1391" s="195">
        <v>482512.88</v>
      </c>
      <c r="H1391" s="195">
        <v>428760.75</v>
      </c>
      <c r="I1391" s="195">
        <v>382153.31</v>
      </c>
    </row>
    <row r="1392" spans="1:9" x14ac:dyDescent="0.2">
      <c r="A1392" s="193">
        <v>1848200210</v>
      </c>
      <c r="B1392" s="193" t="s">
        <v>201</v>
      </c>
    </row>
    <row r="1393" spans="1:9" x14ac:dyDescent="0.2">
      <c r="A1393" s="193">
        <v>1848200840</v>
      </c>
      <c r="B1393" s="193" t="s">
        <v>202</v>
      </c>
    </row>
    <row r="1394" spans="1:9" x14ac:dyDescent="0.2">
      <c r="A1394" s="193">
        <v>1848200841</v>
      </c>
      <c r="B1394" s="193" t="s">
        <v>1045</v>
      </c>
      <c r="C1394" s="195">
        <v>25000</v>
      </c>
      <c r="D1394" s="195">
        <v>23289.72</v>
      </c>
      <c r="E1394" s="195">
        <v>25000</v>
      </c>
      <c r="F1394" s="195">
        <v>24773.200000000001</v>
      </c>
      <c r="G1394" s="195">
        <v>94221.37</v>
      </c>
      <c r="H1394" s="195">
        <v>116730.3</v>
      </c>
      <c r="I1394" s="195">
        <v>98794.23</v>
      </c>
    </row>
    <row r="1395" spans="1:9" x14ac:dyDescent="0.2">
      <c r="A1395" s="193">
        <v>1848200842</v>
      </c>
      <c r="B1395" s="193" t="s">
        <v>203</v>
      </c>
    </row>
    <row r="1396" spans="1:9" x14ac:dyDescent="0.2">
      <c r="A1396" s="193">
        <v>1848200843</v>
      </c>
      <c r="B1396" s="193" t="s">
        <v>1430</v>
      </c>
    </row>
    <row r="1397" spans="1:9" x14ac:dyDescent="0.2">
      <c r="A1397" s="193">
        <v>1848200844</v>
      </c>
      <c r="B1397" s="193" t="s">
        <v>1253</v>
      </c>
      <c r="I1397" s="195">
        <v>72500</v>
      </c>
    </row>
    <row r="1398" spans="1:9" x14ac:dyDescent="0.2">
      <c r="A1398" s="193">
        <v>1848200845</v>
      </c>
      <c r="B1398" s="193" t="s">
        <v>1199</v>
      </c>
    </row>
    <row r="1399" spans="1:9" x14ac:dyDescent="0.2">
      <c r="A1399" s="193">
        <v>1848200846</v>
      </c>
      <c r="B1399" s="193" t="s">
        <v>204</v>
      </c>
    </row>
    <row r="1400" spans="1:9" x14ac:dyDescent="0.2">
      <c r="A1400" s="193">
        <v>1848200847</v>
      </c>
      <c r="B1400" s="193" t="s">
        <v>1365</v>
      </c>
      <c r="C1400" s="195">
        <v>12000</v>
      </c>
      <c r="D1400" s="195">
        <v>5730</v>
      </c>
      <c r="E1400" s="195">
        <v>12000</v>
      </c>
      <c r="F1400" s="195">
        <v>12000</v>
      </c>
    </row>
    <row r="1401" spans="1:9" x14ac:dyDescent="0.2">
      <c r="A1401" s="193">
        <v>1848300580</v>
      </c>
      <c r="B1401" s="193" t="s">
        <v>1046</v>
      </c>
      <c r="C1401" s="195">
        <v>17500</v>
      </c>
      <c r="D1401" s="195">
        <v>8723</v>
      </c>
      <c r="E1401" s="195">
        <v>17500</v>
      </c>
      <c r="F1401" s="195">
        <v>19544.3</v>
      </c>
      <c r="G1401" s="195">
        <v>16750</v>
      </c>
      <c r="H1401" s="195">
        <v>4095</v>
      </c>
      <c r="I1401" s="195">
        <v>6858.47</v>
      </c>
    </row>
    <row r="1402" spans="1:9" x14ac:dyDescent="0.2">
      <c r="A1402" s="193">
        <v>1848300840</v>
      </c>
      <c r="B1402" s="193" t="s">
        <v>1047</v>
      </c>
      <c r="C1402" s="195">
        <v>8000</v>
      </c>
      <c r="D1402" s="195">
        <v>6222.4</v>
      </c>
      <c r="E1402" s="195">
        <v>8000</v>
      </c>
      <c r="F1402" s="195">
        <v>6534.51</v>
      </c>
      <c r="G1402" s="195">
        <v>6822.48</v>
      </c>
      <c r="H1402" s="195">
        <v>1727.2</v>
      </c>
      <c r="I1402" s="195">
        <v>4171.6000000000004</v>
      </c>
    </row>
    <row r="1403" spans="1:9" x14ac:dyDescent="0.2">
      <c r="A1403" s="193">
        <v>1848300841</v>
      </c>
      <c r="B1403" s="193" t="s">
        <v>1432</v>
      </c>
    </row>
    <row r="1404" spans="1:9" x14ac:dyDescent="0.2">
      <c r="A1404" s="193">
        <v>1848400840</v>
      </c>
      <c r="B1404" s="193" t="s">
        <v>476</v>
      </c>
      <c r="C1404" s="195">
        <v>2600</v>
      </c>
      <c r="D1404" s="195">
        <v>161.07</v>
      </c>
      <c r="E1404" s="195">
        <v>2600</v>
      </c>
      <c r="F1404" s="195">
        <v>2889.91</v>
      </c>
      <c r="G1404" s="195">
        <v>2688.22</v>
      </c>
      <c r="I1404" s="195">
        <v>400</v>
      </c>
    </row>
    <row r="1405" spans="1:9" x14ac:dyDescent="0.2">
      <c r="A1405" s="193">
        <v>1848500840</v>
      </c>
      <c r="B1405" s="193" t="s">
        <v>477</v>
      </c>
      <c r="C1405" s="195">
        <v>36000</v>
      </c>
      <c r="D1405" s="195">
        <v>24000</v>
      </c>
      <c r="E1405" s="195">
        <v>36000</v>
      </c>
      <c r="F1405" s="195">
        <v>32370</v>
      </c>
      <c r="G1405" s="195">
        <v>8300</v>
      </c>
      <c r="I1405" s="195">
        <v>11960</v>
      </c>
    </row>
    <row r="1406" spans="1:9" x14ac:dyDescent="0.2">
      <c r="A1406" s="193">
        <v>1848500842</v>
      </c>
      <c r="B1406" s="193" t="s">
        <v>205</v>
      </c>
    </row>
    <row r="1407" spans="1:9" x14ac:dyDescent="0.2">
      <c r="A1407" s="193">
        <v>1848800110</v>
      </c>
      <c r="B1407" s="193" t="s">
        <v>523</v>
      </c>
      <c r="C1407" s="195">
        <v>1117102</v>
      </c>
      <c r="D1407" s="195">
        <v>962381.4</v>
      </c>
      <c r="E1407" s="195">
        <v>1117102</v>
      </c>
      <c r="F1407" s="195">
        <v>1250235.8700000001</v>
      </c>
      <c r="G1407" s="195">
        <v>1478889.3</v>
      </c>
      <c r="H1407" s="195">
        <v>1379063.2</v>
      </c>
      <c r="I1407" s="195">
        <v>1164724.95</v>
      </c>
    </row>
    <row r="1408" spans="1:9" x14ac:dyDescent="0.2">
      <c r="A1408" s="193">
        <v>1848800780</v>
      </c>
      <c r="B1408" s="193" t="s">
        <v>1048</v>
      </c>
      <c r="C1408" s="195">
        <v>30000</v>
      </c>
      <c r="D1408" s="195">
        <v>30000</v>
      </c>
      <c r="E1408" s="195">
        <v>30000</v>
      </c>
      <c r="F1408" s="195">
        <v>30000</v>
      </c>
      <c r="G1408" s="195">
        <v>30000</v>
      </c>
      <c r="H1408" s="195">
        <v>30000</v>
      </c>
      <c r="I1408" s="195">
        <v>30000</v>
      </c>
    </row>
    <row r="1409" spans="1:9" x14ac:dyDescent="0.2">
      <c r="A1409" s="193">
        <v>1848801210</v>
      </c>
      <c r="B1409" s="193" t="s">
        <v>1020</v>
      </c>
      <c r="C1409" s="195">
        <v>39143</v>
      </c>
      <c r="D1409" s="195">
        <v>27078.11</v>
      </c>
      <c r="E1409" s="195">
        <v>39143</v>
      </c>
      <c r="F1409" s="195">
        <v>33210.28</v>
      </c>
      <c r="G1409" s="195">
        <v>28462.71</v>
      </c>
      <c r="H1409" s="195">
        <v>31351.17</v>
      </c>
      <c r="I1409" s="195">
        <v>12940.13</v>
      </c>
    </row>
    <row r="1410" spans="1:9" x14ac:dyDescent="0.2">
      <c r="A1410" s="193">
        <v>1848801750</v>
      </c>
      <c r="B1410" s="193" t="s">
        <v>1049</v>
      </c>
      <c r="C1410" s="195">
        <v>30000</v>
      </c>
      <c r="D1410" s="195">
        <v>6000</v>
      </c>
      <c r="E1410" s="195">
        <v>30000</v>
      </c>
      <c r="F1410" s="195">
        <v>23000</v>
      </c>
      <c r="G1410" s="195">
        <v>22800</v>
      </c>
      <c r="H1410" s="195">
        <v>130961</v>
      </c>
      <c r="I1410" s="195">
        <v>12339</v>
      </c>
    </row>
    <row r="1411" spans="1:9" x14ac:dyDescent="0.2">
      <c r="A1411" s="193">
        <v>1849000840</v>
      </c>
      <c r="B1411" s="193" t="s">
        <v>1050</v>
      </c>
      <c r="C1411" s="195">
        <v>5000</v>
      </c>
      <c r="E1411" s="195">
        <v>5000</v>
      </c>
    </row>
    <row r="1412" spans="1:9" x14ac:dyDescent="0.2">
      <c r="A1412" s="193">
        <v>1849000841</v>
      </c>
      <c r="B1412" s="193" t="s">
        <v>1051</v>
      </c>
      <c r="C1412" s="195">
        <v>5000</v>
      </c>
      <c r="E1412" s="195">
        <v>5000</v>
      </c>
      <c r="G1412" s="195">
        <v>21858</v>
      </c>
      <c r="I1412" s="195">
        <v>54456</v>
      </c>
    </row>
    <row r="1413" spans="1:9" x14ac:dyDescent="0.2">
      <c r="A1413" s="193">
        <v>1849000842</v>
      </c>
      <c r="B1413" s="193" t="s">
        <v>1052</v>
      </c>
      <c r="C1413" s="195">
        <v>55080</v>
      </c>
      <c r="D1413" s="195">
        <v>36910</v>
      </c>
      <c r="E1413" s="195">
        <v>55080</v>
      </c>
      <c r="F1413" s="195">
        <v>55071</v>
      </c>
      <c r="G1413" s="195">
        <v>54708</v>
      </c>
      <c r="H1413" s="195">
        <v>52426</v>
      </c>
      <c r="I1413" s="195">
        <v>50929</v>
      </c>
    </row>
    <row r="1414" spans="1:9" x14ac:dyDescent="0.2">
      <c r="A1414" s="193">
        <v>1849000843</v>
      </c>
      <c r="B1414" s="193" t="s">
        <v>1053</v>
      </c>
      <c r="G1414" s="195">
        <v>155415</v>
      </c>
      <c r="H1414" s="195">
        <v>137152</v>
      </c>
      <c r="I1414" s="195">
        <v>139848</v>
      </c>
    </row>
    <row r="1415" spans="1:9" x14ac:dyDescent="0.2">
      <c r="A1415" s="193">
        <v>1849000844</v>
      </c>
      <c r="B1415" s="193" t="s">
        <v>1054</v>
      </c>
      <c r="C1415" s="195">
        <v>144840</v>
      </c>
      <c r="D1415" s="195">
        <v>157448</v>
      </c>
      <c r="E1415" s="195">
        <v>144840</v>
      </c>
      <c r="F1415" s="195">
        <v>169713</v>
      </c>
      <c r="G1415" s="195">
        <v>250935</v>
      </c>
      <c r="H1415" s="195">
        <v>325232</v>
      </c>
      <c r="I1415" s="195">
        <v>400174</v>
      </c>
    </row>
    <row r="1416" spans="1:9" x14ac:dyDescent="0.2">
      <c r="A1416" s="193">
        <v>1849000845</v>
      </c>
      <c r="B1416" s="193" t="s">
        <v>1055</v>
      </c>
      <c r="C1416" s="195">
        <v>50000</v>
      </c>
      <c r="D1416" s="195">
        <v>36628</v>
      </c>
      <c r="E1416" s="195">
        <v>50000</v>
      </c>
      <c r="F1416" s="195">
        <v>55243</v>
      </c>
      <c r="G1416" s="195">
        <v>45617</v>
      </c>
      <c r="H1416" s="195">
        <v>34258</v>
      </c>
      <c r="I1416" s="195">
        <v>45299</v>
      </c>
    </row>
    <row r="1417" spans="1:9" x14ac:dyDescent="0.2">
      <c r="A1417" s="193">
        <v>1849000846</v>
      </c>
      <c r="B1417" s="193" t="s">
        <v>1146</v>
      </c>
      <c r="C1417" s="195">
        <v>60000</v>
      </c>
      <c r="E1417" s="195">
        <v>60000</v>
      </c>
      <c r="G1417" s="195">
        <v>101286.04</v>
      </c>
    </row>
    <row r="1418" spans="1:9" x14ac:dyDescent="0.2">
      <c r="A1418" s="193">
        <v>1849000847</v>
      </c>
      <c r="B1418" s="193" t="s">
        <v>1434</v>
      </c>
    </row>
    <row r="1419" spans="1:9" x14ac:dyDescent="0.2">
      <c r="A1419" s="193">
        <v>1849000848</v>
      </c>
      <c r="B1419" s="193" t="s">
        <v>206</v>
      </c>
    </row>
    <row r="1420" spans="1:9" x14ac:dyDescent="0.2">
      <c r="A1420" s="193">
        <v>1849000849</v>
      </c>
      <c r="B1420" s="193" t="s">
        <v>1435</v>
      </c>
    </row>
    <row r="1421" spans="1:9" x14ac:dyDescent="0.2">
      <c r="A1421" s="193">
        <v>1849000850</v>
      </c>
      <c r="B1421" s="193" t="s">
        <v>207</v>
      </c>
    </row>
    <row r="1422" spans="1:9" x14ac:dyDescent="0.2">
      <c r="A1422" s="193">
        <v>1849000851</v>
      </c>
      <c r="B1422" s="193" t="s">
        <v>70</v>
      </c>
      <c r="C1422" s="195">
        <v>156000</v>
      </c>
      <c r="D1422" s="195">
        <v>88868</v>
      </c>
      <c r="E1422" s="195">
        <v>156000</v>
      </c>
      <c r="F1422" s="195">
        <v>143751</v>
      </c>
    </row>
    <row r="1423" spans="1:9" x14ac:dyDescent="0.2">
      <c r="A1423" s="193">
        <v>1849001840</v>
      </c>
      <c r="B1423" s="193" t="s">
        <v>460</v>
      </c>
    </row>
    <row r="1424" spans="1:9" x14ac:dyDescent="0.2">
      <c r="A1424" s="193">
        <v>1849001841</v>
      </c>
      <c r="B1424" s="193" t="s">
        <v>1366</v>
      </c>
      <c r="C1424" s="195">
        <v>20000</v>
      </c>
      <c r="D1424" s="195">
        <v>4500</v>
      </c>
      <c r="E1424" s="195">
        <v>20000</v>
      </c>
      <c r="F1424" s="195">
        <v>17900</v>
      </c>
    </row>
    <row r="1425" spans="1:9" x14ac:dyDescent="0.2">
      <c r="A1425" s="193">
        <v>1849001843</v>
      </c>
      <c r="B1425" s="193" t="s">
        <v>208</v>
      </c>
    </row>
    <row r="1426" spans="1:9" x14ac:dyDescent="0.2">
      <c r="A1426" s="193">
        <v>1849001844</v>
      </c>
      <c r="B1426" s="193" t="s">
        <v>485</v>
      </c>
      <c r="C1426" s="195">
        <v>180000</v>
      </c>
      <c r="D1426" s="195">
        <v>79650</v>
      </c>
      <c r="E1426" s="195">
        <v>180000</v>
      </c>
      <c r="F1426" s="195">
        <v>179994.36</v>
      </c>
      <c r="G1426" s="195">
        <v>180000</v>
      </c>
      <c r="H1426" s="195">
        <v>180000</v>
      </c>
      <c r="I1426" s="195">
        <v>180000</v>
      </c>
    </row>
    <row r="1427" spans="1:9" x14ac:dyDescent="0.2">
      <c r="A1427" s="193">
        <v>1849001847</v>
      </c>
      <c r="B1427" s="193" t="s">
        <v>486</v>
      </c>
      <c r="C1427" s="195">
        <v>15000</v>
      </c>
      <c r="D1427" s="195">
        <v>10605</v>
      </c>
      <c r="E1427" s="195">
        <v>15000</v>
      </c>
      <c r="F1427" s="195">
        <v>32546</v>
      </c>
      <c r="G1427" s="195">
        <v>12409</v>
      </c>
      <c r="H1427" s="195">
        <v>30089</v>
      </c>
      <c r="I1427" s="195">
        <v>21451</v>
      </c>
    </row>
    <row r="1428" spans="1:9" x14ac:dyDescent="0.2">
      <c r="A1428" s="193">
        <v>1849001849</v>
      </c>
      <c r="B1428" s="193" t="s">
        <v>487</v>
      </c>
      <c r="C1428" s="195">
        <v>21000</v>
      </c>
      <c r="D1428" s="195">
        <v>15551</v>
      </c>
      <c r="E1428" s="195">
        <v>21000</v>
      </c>
      <c r="F1428" s="195">
        <v>17616</v>
      </c>
      <c r="G1428" s="195">
        <v>17415</v>
      </c>
      <c r="H1428" s="195">
        <v>22262</v>
      </c>
      <c r="I1428" s="195">
        <v>21621</v>
      </c>
    </row>
    <row r="1429" spans="1:9" x14ac:dyDescent="0.2">
      <c r="A1429" s="193">
        <v>1849002840</v>
      </c>
      <c r="B1429" s="193" t="s">
        <v>1438</v>
      </c>
    </row>
    <row r="1430" spans="1:9" x14ac:dyDescent="0.2">
      <c r="A1430" s="193">
        <v>1849002849</v>
      </c>
      <c r="B1430" s="193" t="s">
        <v>1056</v>
      </c>
      <c r="F1430" s="195">
        <v>1362</v>
      </c>
      <c r="G1430" s="195">
        <v>5402</v>
      </c>
      <c r="H1430" s="195">
        <v>3895</v>
      </c>
      <c r="I1430" s="195">
        <v>5525</v>
      </c>
    </row>
    <row r="1431" spans="1:9" x14ac:dyDescent="0.2">
      <c r="A1431" s="193">
        <v>1849300840</v>
      </c>
      <c r="B1431" s="193" t="s">
        <v>1439</v>
      </c>
    </row>
    <row r="1432" spans="1:9" x14ac:dyDescent="0.2">
      <c r="A1432" s="193">
        <v>1849999780</v>
      </c>
      <c r="B1432" s="193" t="s">
        <v>1165</v>
      </c>
      <c r="G1432" s="195">
        <v>113977</v>
      </c>
    </row>
    <row r="1433" spans="1:9" x14ac:dyDescent="0.2">
      <c r="A1433" s="193">
        <v>1851000810</v>
      </c>
      <c r="B1433" s="193" t="s">
        <v>794</v>
      </c>
      <c r="C1433" s="195">
        <v>1670112</v>
      </c>
      <c r="D1433" s="195">
        <v>1670112</v>
      </c>
      <c r="E1433" s="195">
        <v>1670112</v>
      </c>
      <c r="F1433" s="195">
        <v>1670111.92</v>
      </c>
      <c r="G1433" s="195">
        <v>1651080</v>
      </c>
      <c r="H1433" s="195">
        <v>1651076</v>
      </c>
      <c r="I1433" s="195">
        <v>1605170</v>
      </c>
    </row>
    <row r="1434" spans="1:9" x14ac:dyDescent="0.2">
      <c r="A1434" s="193">
        <v>1860000399</v>
      </c>
      <c r="B1434" s="193" t="s">
        <v>24</v>
      </c>
    </row>
    <row r="1435" spans="1:9" x14ac:dyDescent="0.2">
      <c r="A1435" s="193">
        <v>1860000410</v>
      </c>
      <c r="B1435" s="193" t="s">
        <v>873</v>
      </c>
      <c r="C1435" s="195">
        <v>110000</v>
      </c>
      <c r="D1435" s="195">
        <v>58703.21</v>
      </c>
      <c r="E1435" s="195">
        <v>110000</v>
      </c>
      <c r="F1435" s="195">
        <v>106862.76</v>
      </c>
      <c r="G1435" s="195">
        <v>80831.7</v>
      </c>
      <c r="H1435" s="195">
        <v>69948</v>
      </c>
      <c r="I1435" s="195">
        <v>59986.01</v>
      </c>
    </row>
    <row r="1436" spans="1:9" x14ac:dyDescent="0.2">
      <c r="A1436" s="193">
        <v>1860000470</v>
      </c>
      <c r="B1436" s="193" t="s">
        <v>884</v>
      </c>
      <c r="C1436" s="195">
        <v>5000</v>
      </c>
      <c r="D1436" s="195">
        <v>2843.94</v>
      </c>
      <c r="E1436" s="195">
        <v>5000</v>
      </c>
      <c r="F1436" s="195">
        <v>7577.82</v>
      </c>
      <c r="G1436" s="195">
        <v>8658.33</v>
      </c>
      <c r="H1436" s="195">
        <v>2000</v>
      </c>
      <c r="I1436" s="195">
        <v>1999.15</v>
      </c>
    </row>
    <row r="1437" spans="1:9" x14ac:dyDescent="0.2">
      <c r="A1437" s="193">
        <v>1860000520</v>
      </c>
      <c r="B1437" s="193" t="s">
        <v>571</v>
      </c>
      <c r="C1437" s="195">
        <v>2000</v>
      </c>
      <c r="E1437" s="195">
        <v>2000</v>
      </c>
      <c r="F1437" s="195">
        <v>2882</v>
      </c>
      <c r="G1437" s="195">
        <v>379.6</v>
      </c>
      <c r="H1437" s="195">
        <v>1090.1099999999999</v>
      </c>
    </row>
    <row r="1438" spans="1:9" x14ac:dyDescent="0.2">
      <c r="A1438" s="193">
        <v>1860000522</v>
      </c>
      <c r="B1438" s="193" t="s">
        <v>885</v>
      </c>
      <c r="C1438" s="195">
        <v>2900</v>
      </c>
      <c r="E1438" s="195">
        <v>2900</v>
      </c>
      <c r="F1438" s="195">
        <v>236</v>
      </c>
      <c r="G1438" s="195">
        <v>2388.29</v>
      </c>
    </row>
    <row r="1439" spans="1:9" x14ac:dyDescent="0.2">
      <c r="A1439" s="193">
        <v>1860000540</v>
      </c>
      <c r="B1439" s="193" t="s">
        <v>209</v>
      </c>
      <c r="C1439" s="195">
        <v>2100</v>
      </c>
      <c r="D1439" s="195">
        <v>986.32</v>
      </c>
      <c r="E1439" s="195">
        <v>2100</v>
      </c>
      <c r="F1439" s="195">
        <v>2164.7399999999998</v>
      </c>
    </row>
    <row r="1440" spans="1:9" x14ac:dyDescent="0.2">
      <c r="A1440" s="193">
        <v>1860000780</v>
      </c>
      <c r="B1440" s="193" t="s">
        <v>580</v>
      </c>
      <c r="C1440" s="195">
        <v>391750</v>
      </c>
      <c r="D1440" s="195">
        <v>259364.57</v>
      </c>
      <c r="E1440" s="195">
        <v>391750</v>
      </c>
      <c r="F1440" s="195">
        <v>523836.35</v>
      </c>
      <c r="G1440" s="195">
        <v>355121.23</v>
      </c>
      <c r="H1440" s="195">
        <v>229292.53</v>
      </c>
      <c r="I1440" s="195">
        <v>149103.19</v>
      </c>
    </row>
    <row r="1441" spans="1:9" x14ac:dyDescent="0.2">
      <c r="A1441" s="193">
        <v>1860000910</v>
      </c>
      <c r="B1441" s="193" t="s">
        <v>741</v>
      </c>
      <c r="C1441" s="195">
        <v>172250</v>
      </c>
      <c r="E1441" s="195">
        <v>172250</v>
      </c>
      <c r="F1441" s="195">
        <v>25858</v>
      </c>
      <c r="H1441" s="195">
        <v>25858</v>
      </c>
    </row>
    <row r="1442" spans="1:9" x14ac:dyDescent="0.2">
      <c r="A1442" s="193">
        <v>1869000110</v>
      </c>
      <c r="B1442" s="193" t="s">
        <v>538</v>
      </c>
      <c r="C1442" s="195">
        <v>420411</v>
      </c>
      <c r="D1442" s="195">
        <v>310054.95</v>
      </c>
      <c r="E1442" s="195">
        <v>420411</v>
      </c>
      <c r="F1442" s="195">
        <v>404134.05</v>
      </c>
      <c r="G1442" s="195">
        <v>372128.02</v>
      </c>
      <c r="H1442" s="195">
        <v>305185.8</v>
      </c>
      <c r="I1442" s="195">
        <v>292471.40000000002</v>
      </c>
    </row>
    <row r="1443" spans="1:9" x14ac:dyDescent="0.2">
      <c r="A1443" s="193">
        <v>1869000980</v>
      </c>
      <c r="B1443" s="193" t="s">
        <v>886</v>
      </c>
      <c r="F1443" s="195">
        <v>0.52</v>
      </c>
      <c r="H1443" s="195">
        <v>34141.22</v>
      </c>
      <c r="I1443" s="195">
        <v>45842.37</v>
      </c>
    </row>
    <row r="1444" spans="1:9" x14ac:dyDescent="0.2">
      <c r="A1444" s="193">
        <v>1869000981</v>
      </c>
      <c r="B1444" s="193" t="s">
        <v>74</v>
      </c>
    </row>
    <row r="1445" spans="1:9" x14ac:dyDescent="0.2">
      <c r="A1445" s="193">
        <v>1879000810</v>
      </c>
      <c r="B1445" s="193" t="s">
        <v>887</v>
      </c>
      <c r="C1445" s="195">
        <v>162000</v>
      </c>
      <c r="D1445" s="195">
        <v>161850</v>
      </c>
      <c r="E1445" s="195">
        <v>162000</v>
      </c>
      <c r="F1445" s="195">
        <v>161850</v>
      </c>
      <c r="G1445" s="195">
        <v>161064</v>
      </c>
      <c r="H1445" s="195">
        <v>140019</v>
      </c>
      <c r="I1445" s="195">
        <v>140019</v>
      </c>
    </row>
    <row r="1446" spans="1:9" x14ac:dyDescent="0.2">
      <c r="A1446" s="193">
        <v>1910000399</v>
      </c>
      <c r="B1446" s="193" t="s">
        <v>1266</v>
      </c>
    </row>
    <row r="1447" spans="1:9" x14ac:dyDescent="0.2">
      <c r="A1447" s="193">
        <v>1913000110</v>
      </c>
      <c r="B1447" s="193" t="s">
        <v>523</v>
      </c>
      <c r="F1447" s="195">
        <v>1303707</v>
      </c>
      <c r="G1447" s="195">
        <v>1623182</v>
      </c>
      <c r="H1447" s="195">
        <v>1735000</v>
      </c>
      <c r="I1447" s="195">
        <v>83.09</v>
      </c>
    </row>
    <row r="1448" spans="1:9" x14ac:dyDescent="0.2">
      <c r="A1448" s="193">
        <v>1913000470</v>
      </c>
      <c r="B1448" s="193" t="s">
        <v>884</v>
      </c>
    </row>
    <row r="1449" spans="1:9" x14ac:dyDescent="0.2">
      <c r="A1449" s="193">
        <v>1913000520</v>
      </c>
      <c r="B1449" s="193" t="s">
        <v>571</v>
      </c>
    </row>
    <row r="1450" spans="1:9" x14ac:dyDescent="0.2">
      <c r="A1450" s="193">
        <v>1913000580</v>
      </c>
      <c r="B1450" s="193" t="s">
        <v>210</v>
      </c>
    </row>
    <row r="1451" spans="1:9" x14ac:dyDescent="0.2">
      <c r="A1451" s="193">
        <v>1913000720</v>
      </c>
      <c r="B1451" s="193" t="s">
        <v>689</v>
      </c>
    </row>
    <row r="1452" spans="1:9" x14ac:dyDescent="0.2">
      <c r="A1452" s="193">
        <v>1913000740</v>
      </c>
      <c r="B1452" s="193" t="s">
        <v>737</v>
      </c>
    </row>
    <row r="1453" spans="1:9" x14ac:dyDescent="0.2">
      <c r="A1453" s="193">
        <v>1913000743</v>
      </c>
      <c r="B1453" s="193" t="s">
        <v>211</v>
      </c>
    </row>
    <row r="1454" spans="1:9" x14ac:dyDescent="0.2">
      <c r="A1454" s="193">
        <v>1913000750</v>
      </c>
      <c r="B1454" s="193" t="s">
        <v>714</v>
      </c>
      <c r="C1454" s="195">
        <v>50000</v>
      </c>
      <c r="D1454" s="195">
        <v>42056.78</v>
      </c>
      <c r="E1454" s="195">
        <v>50000</v>
      </c>
      <c r="F1454" s="195">
        <v>58065.52</v>
      </c>
      <c r="G1454" s="195">
        <v>2714979.33</v>
      </c>
      <c r="H1454" s="195">
        <v>236419.52</v>
      </c>
      <c r="I1454" s="195">
        <v>178940.34</v>
      </c>
    </row>
    <row r="1455" spans="1:9" x14ac:dyDescent="0.2">
      <c r="A1455" s="193">
        <v>1913000770</v>
      </c>
      <c r="B1455" s="193" t="s">
        <v>740</v>
      </c>
    </row>
    <row r="1456" spans="1:9" x14ac:dyDescent="0.2">
      <c r="A1456" s="193">
        <v>1913000930</v>
      </c>
      <c r="B1456" s="193" t="s">
        <v>961</v>
      </c>
    </row>
    <row r="1457" spans="1:9" x14ac:dyDescent="0.2">
      <c r="A1457" s="193">
        <v>1913100720</v>
      </c>
      <c r="B1457" s="193" t="s">
        <v>212</v>
      </c>
    </row>
    <row r="1458" spans="1:9" x14ac:dyDescent="0.2">
      <c r="A1458" s="193">
        <v>1913100721</v>
      </c>
      <c r="B1458" s="193" t="s">
        <v>213</v>
      </c>
    </row>
    <row r="1459" spans="1:9" x14ac:dyDescent="0.2">
      <c r="A1459" s="193">
        <v>1930000399</v>
      </c>
      <c r="B1459" s="193" t="s">
        <v>24</v>
      </c>
    </row>
    <row r="1460" spans="1:9" x14ac:dyDescent="0.2">
      <c r="A1460" s="193">
        <v>1931000110</v>
      </c>
      <c r="B1460" s="193" t="s">
        <v>523</v>
      </c>
      <c r="C1460" s="195">
        <v>174858</v>
      </c>
      <c r="D1460" s="195">
        <v>110251.26</v>
      </c>
      <c r="E1460" s="195">
        <v>174858</v>
      </c>
      <c r="F1460" s="195">
        <v>135590.20000000001</v>
      </c>
      <c r="G1460" s="195">
        <v>217310.86</v>
      </c>
      <c r="H1460" s="195">
        <v>202973.34</v>
      </c>
      <c r="I1460" s="195">
        <v>201141.85</v>
      </c>
    </row>
    <row r="1461" spans="1:9" x14ac:dyDescent="0.2">
      <c r="A1461" s="193">
        <v>1931000450</v>
      </c>
      <c r="B1461" s="193" t="s">
        <v>888</v>
      </c>
      <c r="G1461" s="195">
        <v>50</v>
      </c>
      <c r="H1461" s="195">
        <v>1170</v>
      </c>
      <c r="I1461" s="195">
        <v>11802</v>
      </c>
    </row>
    <row r="1462" spans="1:9" x14ac:dyDescent="0.2">
      <c r="A1462" s="193">
        <v>1931000511</v>
      </c>
      <c r="B1462" s="193" t="s">
        <v>889</v>
      </c>
      <c r="C1462" s="195">
        <v>1200</v>
      </c>
      <c r="D1462" s="195">
        <v>1199.99</v>
      </c>
      <c r="E1462" s="195">
        <v>1200</v>
      </c>
      <c r="F1462" s="195">
        <v>1000</v>
      </c>
      <c r="G1462" s="195">
        <v>1000</v>
      </c>
      <c r="H1462" s="195">
        <v>2000</v>
      </c>
    </row>
    <row r="1463" spans="1:9" x14ac:dyDescent="0.2">
      <c r="A1463" s="193">
        <v>1931000560</v>
      </c>
      <c r="B1463" s="193" t="s">
        <v>890</v>
      </c>
      <c r="C1463" s="195">
        <v>5500</v>
      </c>
      <c r="D1463" s="195">
        <v>3961.58</v>
      </c>
      <c r="E1463" s="195">
        <v>5500</v>
      </c>
      <c r="F1463" s="195">
        <v>9961.43</v>
      </c>
      <c r="G1463" s="195">
        <v>7015.89</v>
      </c>
      <c r="H1463" s="195">
        <v>3365.63</v>
      </c>
      <c r="I1463" s="195">
        <v>27741.37</v>
      </c>
    </row>
    <row r="1464" spans="1:9" x14ac:dyDescent="0.2">
      <c r="A1464" s="193">
        <v>1931000731</v>
      </c>
      <c r="B1464" s="193" t="s">
        <v>129</v>
      </c>
      <c r="F1464" s="195">
        <v>2606.65</v>
      </c>
      <c r="G1464" s="195">
        <v>14047.48</v>
      </c>
      <c r="H1464" s="195">
        <v>15092.63</v>
      </c>
      <c r="I1464" s="195">
        <v>14317.57</v>
      </c>
    </row>
    <row r="1465" spans="1:9" x14ac:dyDescent="0.2">
      <c r="A1465" s="193">
        <v>1931000750</v>
      </c>
      <c r="B1465" s="193" t="s">
        <v>714</v>
      </c>
      <c r="C1465" s="195">
        <v>250000</v>
      </c>
      <c r="D1465" s="195">
        <v>108255.22</v>
      </c>
      <c r="E1465" s="195">
        <v>250000</v>
      </c>
      <c r="F1465" s="195">
        <v>288337.74</v>
      </c>
      <c r="G1465" s="195">
        <v>287860.46000000002</v>
      </c>
      <c r="H1465" s="195">
        <v>188652</v>
      </c>
      <c r="I1465" s="195">
        <v>420906.76</v>
      </c>
    </row>
    <row r="1466" spans="1:9" x14ac:dyDescent="0.2">
      <c r="A1466" s="193">
        <v>1931000910</v>
      </c>
      <c r="B1466" s="193" t="s">
        <v>1148</v>
      </c>
    </row>
    <row r="1467" spans="1:9" x14ac:dyDescent="0.2">
      <c r="A1467" s="193">
        <v>1931000980</v>
      </c>
      <c r="B1467" s="193" t="s">
        <v>580</v>
      </c>
      <c r="C1467" s="195">
        <v>50000</v>
      </c>
      <c r="D1467" s="195">
        <v>20567.53</v>
      </c>
      <c r="E1467" s="195">
        <v>50000</v>
      </c>
      <c r="F1467" s="195">
        <v>22360.75</v>
      </c>
      <c r="G1467" s="195">
        <v>84680.82</v>
      </c>
      <c r="H1467" s="195">
        <v>58976.87</v>
      </c>
      <c r="I1467" s="195">
        <v>57674.46</v>
      </c>
    </row>
    <row r="1468" spans="1:9" x14ac:dyDescent="0.2">
      <c r="A1468" s="193">
        <v>1937000110</v>
      </c>
      <c r="B1468" s="193" t="s">
        <v>523</v>
      </c>
      <c r="C1468" s="195">
        <v>157649</v>
      </c>
      <c r="D1468" s="195">
        <v>118993.05</v>
      </c>
      <c r="E1468" s="195">
        <v>157649</v>
      </c>
      <c r="F1468" s="195">
        <v>155791.25</v>
      </c>
      <c r="G1468" s="195">
        <v>155206.59</v>
      </c>
      <c r="H1468" s="195">
        <v>141587.28</v>
      </c>
      <c r="I1468" s="195">
        <v>137891.66</v>
      </c>
    </row>
    <row r="1469" spans="1:9" x14ac:dyDescent="0.2">
      <c r="A1469" s="193">
        <v>1937000750</v>
      </c>
      <c r="B1469" s="193" t="s">
        <v>892</v>
      </c>
      <c r="C1469" s="195">
        <v>258000</v>
      </c>
      <c r="D1469" s="195">
        <v>157815.07999999999</v>
      </c>
      <c r="E1469" s="195">
        <v>237000</v>
      </c>
      <c r="F1469" s="195">
        <v>339445.94</v>
      </c>
      <c r="G1469" s="195">
        <v>306079.14</v>
      </c>
      <c r="H1469" s="195">
        <v>282723.09000000003</v>
      </c>
      <c r="I1469" s="195">
        <v>461434</v>
      </c>
    </row>
    <row r="1470" spans="1:9" x14ac:dyDescent="0.2">
      <c r="A1470" s="193">
        <v>1937000780</v>
      </c>
      <c r="B1470" s="193" t="s">
        <v>580</v>
      </c>
      <c r="C1470" s="195">
        <v>120000</v>
      </c>
      <c r="D1470" s="195">
        <v>69565.8</v>
      </c>
      <c r="E1470" s="195">
        <v>120000</v>
      </c>
      <c r="F1470" s="195">
        <v>151866.14000000001</v>
      </c>
      <c r="G1470" s="195">
        <v>125678.37</v>
      </c>
      <c r="H1470" s="195">
        <v>107051.85</v>
      </c>
      <c r="I1470" s="195">
        <v>69499.27</v>
      </c>
    </row>
    <row r="1471" spans="1:9" x14ac:dyDescent="0.2">
      <c r="A1471" s="193">
        <v>1938000110</v>
      </c>
      <c r="B1471" s="193" t="s">
        <v>523</v>
      </c>
      <c r="C1471" s="195">
        <v>880607</v>
      </c>
      <c r="D1471" s="195">
        <v>705356.42</v>
      </c>
      <c r="E1471" s="195">
        <v>880607</v>
      </c>
      <c r="F1471" s="195">
        <v>945298.61</v>
      </c>
      <c r="G1471" s="195">
        <v>753552.34</v>
      </c>
      <c r="H1471" s="195">
        <v>737563.83</v>
      </c>
      <c r="I1471" s="195">
        <v>671400.63</v>
      </c>
    </row>
    <row r="1472" spans="1:9" x14ac:dyDescent="0.2">
      <c r="A1472" s="193">
        <v>1938000210</v>
      </c>
      <c r="B1472" s="193" t="s">
        <v>214</v>
      </c>
    </row>
    <row r="1473" spans="1:9" x14ac:dyDescent="0.2">
      <c r="A1473" s="193">
        <v>1938000422</v>
      </c>
      <c r="B1473" s="193" t="s">
        <v>893</v>
      </c>
      <c r="C1473" s="195">
        <v>12000</v>
      </c>
      <c r="D1473" s="195">
        <v>6895</v>
      </c>
      <c r="E1473" s="195">
        <v>12000</v>
      </c>
      <c r="F1473" s="195">
        <v>11593.94</v>
      </c>
      <c r="G1473" s="195">
        <v>9959.84</v>
      </c>
      <c r="H1473" s="195">
        <v>8502.41</v>
      </c>
      <c r="I1473" s="195">
        <v>6695.26</v>
      </c>
    </row>
    <row r="1474" spans="1:9" x14ac:dyDescent="0.2">
      <c r="A1474" s="193">
        <v>1938000430</v>
      </c>
      <c r="B1474" s="193" t="s">
        <v>839</v>
      </c>
      <c r="C1474" s="195">
        <v>800000</v>
      </c>
      <c r="D1474" s="195">
        <v>418704.67</v>
      </c>
      <c r="E1474" s="195">
        <v>800000</v>
      </c>
      <c r="F1474" s="195">
        <v>903040.65</v>
      </c>
      <c r="G1474" s="195">
        <v>820301.59</v>
      </c>
      <c r="H1474" s="195">
        <v>817826.62</v>
      </c>
      <c r="I1474" s="195">
        <v>645347.80000000005</v>
      </c>
    </row>
    <row r="1475" spans="1:9" x14ac:dyDescent="0.2">
      <c r="A1475" s="193">
        <v>1938000440</v>
      </c>
      <c r="B1475" s="193" t="s">
        <v>215</v>
      </c>
    </row>
    <row r="1476" spans="1:9" x14ac:dyDescent="0.2">
      <c r="A1476" s="193">
        <v>1938000450</v>
      </c>
      <c r="B1476" s="193" t="s">
        <v>894</v>
      </c>
      <c r="C1476" s="195">
        <v>16000</v>
      </c>
      <c r="D1476" s="195">
        <v>11787.61</v>
      </c>
      <c r="E1476" s="195">
        <v>16000</v>
      </c>
      <c r="F1476" s="195">
        <v>15192.25</v>
      </c>
      <c r="G1476" s="195">
        <v>12882.87</v>
      </c>
      <c r="H1476" s="195">
        <v>13544.48</v>
      </c>
      <c r="I1476" s="195">
        <v>10767.4</v>
      </c>
    </row>
    <row r="1477" spans="1:9" x14ac:dyDescent="0.2">
      <c r="A1477" s="193">
        <v>1938000511</v>
      </c>
      <c r="B1477" s="193" t="s">
        <v>895</v>
      </c>
      <c r="C1477" s="195">
        <v>105000</v>
      </c>
      <c r="D1477" s="195">
        <v>54560.65</v>
      </c>
      <c r="E1477" s="195">
        <v>105000</v>
      </c>
      <c r="F1477" s="195">
        <v>107101.06</v>
      </c>
      <c r="G1477" s="195">
        <v>99999.72</v>
      </c>
      <c r="H1477" s="195">
        <v>104187.18</v>
      </c>
      <c r="I1477" s="195">
        <v>89627.67</v>
      </c>
    </row>
    <row r="1478" spans="1:9" x14ac:dyDescent="0.2">
      <c r="A1478" s="193">
        <v>1938000512</v>
      </c>
      <c r="B1478" s="193" t="s">
        <v>1127</v>
      </c>
    </row>
    <row r="1479" spans="1:9" x14ac:dyDescent="0.2">
      <c r="A1479" s="193">
        <v>1938000530</v>
      </c>
      <c r="B1479" s="193" t="s">
        <v>130</v>
      </c>
      <c r="C1479" s="195">
        <v>60000</v>
      </c>
      <c r="D1479" s="195">
        <v>40562.639999999999</v>
      </c>
      <c r="E1479" s="195">
        <v>50000</v>
      </c>
      <c r="F1479" s="195">
        <v>20963.95</v>
      </c>
    </row>
    <row r="1480" spans="1:9" x14ac:dyDescent="0.2">
      <c r="A1480" s="193">
        <v>1938000540</v>
      </c>
      <c r="B1480" s="193" t="s">
        <v>875</v>
      </c>
      <c r="C1480" s="195">
        <v>550000</v>
      </c>
      <c r="D1480" s="195">
        <v>433747.54</v>
      </c>
      <c r="E1480" s="195">
        <v>469000</v>
      </c>
      <c r="F1480" s="195">
        <v>706129.64</v>
      </c>
      <c r="G1480" s="195">
        <v>711616.13</v>
      </c>
      <c r="H1480" s="195">
        <v>721264.42</v>
      </c>
      <c r="I1480" s="195">
        <v>728574.16</v>
      </c>
    </row>
    <row r="1481" spans="1:9" x14ac:dyDescent="0.2">
      <c r="A1481" s="193">
        <v>1938000560</v>
      </c>
      <c r="B1481" s="193" t="s">
        <v>664</v>
      </c>
      <c r="C1481" s="195">
        <v>2000</v>
      </c>
      <c r="E1481" s="195">
        <v>2000</v>
      </c>
      <c r="F1481" s="195">
        <v>1152.29</v>
      </c>
      <c r="G1481" s="195">
        <v>422.91</v>
      </c>
      <c r="H1481" s="195">
        <v>999.64</v>
      </c>
    </row>
    <row r="1482" spans="1:9" x14ac:dyDescent="0.2">
      <c r="A1482" s="193">
        <v>1938000570</v>
      </c>
      <c r="B1482" s="193" t="s">
        <v>896</v>
      </c>
      <c r="C1482" s="195">
        <v>100000</v>
      </c>
      <c r="D1482" s="195">
        <v>56067.76</v>
      </c>
      <c r="E1482" s="195">
        <v>120000</v>
      </c>
      <c r="F1482" s="195">
        <v>81151.92</v>
      </c>
      <c r="G1482" s="195">
        <v>121573.75999999999</v>
      </c>
      <c r="H1482" s="195">
        <v>137528.44</v>
      </c>
      <c r="I1482" s="195">
        <v>124939.92</v>
      </c>
    </row>
    <row r="1483" spans="1:9" x14ac:dyDescent="0.2">
      <c r="A1483" s="193">
        <v>1938000571</v>
      </c>
      <c r="B1483" s="193" t="s">
        <v>897</v>
      </c>
      <c r="C1483" s="195">
        <v>150000</v>
      </c>
      <c r="D1483" s="195">
        <v>104985.12</v>
      </c>
      <c r="E1483" s="195">
        <v>125000</v>
      </c>
      <c r="F1483" s="195">
        <v>86914.92</v>
      </c>
      <c r="G1483" s="195">
        <v>111952.1</v>
      </c>
      <c r="H1483" s="195">
        <v>65522.2</v>
      </c>
      <c r="I1483" s="195">
        <v>90697.41</v>
      </c>
    </row>
    <row r="1484" spans="1:9" x14ac:dyDescent="0.2">
      <c r="A1484" s="193">
        <v>1938000580</v>
      </c>
      <c r="B1484" s="193" t="s">
        <v>216</v>
      </c>
    </row>
    <row r="1485" spans="1:9" x14ac:dyDescent="0.2">
      <c r="A1485" s="193">
        <v>1938000731</v>
      </c>
      <c r="B1485" s="193" t="s">
        <v>217</v>
      </c>
      <c r="E1485" s="195">
        <v>12000</v>
      </c>
      <c r="F1485" s="195">
        <v>1057.32</v>
      </c>
      <c r="G1485" s="195">
        <v>11095.25</v>
      </c>
      <c r="H1485" s="195">
        <v>13535.91</v>
      </c>
      <c r="I1485" s="195">
        <v>16940.099999999999</v>
      </c>
    </row>
    <row r="1486" spans="1:9" x14ac:dyDescent="0.2">
      <c r="A1486" s="193">
        <v>1938000740</v>
      </c>
      <c r="B1486" s="193" t="s">
        <v>737</v>
      </c>
      <c r="C1486" s="195">
        <v>3000</v>
      </c>
      <c r="D1486" s="195">
        <v>1500</v>
      </c>
      <c r="E1486" s="195">
        <v>3000</v>
      </c>
      <c r="F1486" s="195">
        <v>3209</v>
      </c>
      <c r="G1486" s="195">
        <v>1000</v>
      </c>
      <c r="H1486" s="195">
        <v>1506.46</v>
      </c>
      <c r="I1486" s="195">
        <v>1000</v>
      </c>
    </row>
    <row r="1487" spans="1:9" x14ac:dyDescent="0.2">
      <c r="A1487" s="193">
        <v>1938000750</v>
      </c>
      <c r="B1487" s="193" t="s">
        <v>899</v>
      </c>
      <c r="C1487" s="195">
        <v>350000</v>
      </c>
      <c r="D1487" s="195">
        <v>236301</v>
      </c>
      <c r="E1487" s="195">
        <v>360000</v>
      </c>
      <c r="F1487" s="195">
        <v>344520</v>
      </c>
      <c r="G1487" s="195">
        <v>303646</v>
      </c>
      <c r="H1487" s="195">
        <v>302345.01</v>
      </c>
      <c r="I1487" s="195">
        <v>282743</v>
      </c>
    </row>
    <row r="1488" spans="1:9" x14ac:dyDescent="0.2">
      <c r="A1488" s="193">
        <v>1938000751</v>
      </c>
      <c r="B1488" s="193" t="s">
        <v>714</v>
      </c>
      <c r="C1488" s="195">
        <v>14000</v>
      </c>
      <c r="D1488" s="195">
        <v>9639.42</v>
      </c>
      <c r="E1488" s="195">
        <v>14000</v>
      </c>
      <c r="F1488" s="195">
        <v>13655.89</v>
      </c>
      <c r="G1488" s="195">
        <v>11515</v>
      </c>
      <c r="H1488" s="195">
        <v>20091.14</v>
      </c>
    </row>
    <row r="1489" spans="1:9" x14ac:dyDescent="0.2">
      <c r="A1489" s="193">
        <v>1938000760</v>
      </c>
      <c r="B1489" s="193" t="s">
        <v>900</v>
      </c>
      <c r="C1489" s="195">
        <v>19000</v>
      </c>
      <c r="D1489" s="195">
        <v>12619.92</v>
      </c>
      <c r="E1489" s="195">
        <v>19000</v>
      </c>
      <c r="F1489" s="195">
        <v>9453.2999999999993</v>
      </c>
      <c r="G1489" s="195">
        <v>5560.27</v>
      </c>
      <c r="H1489" s="195">
        <v>17748.63</v>
      </c>
    </row>
    <row r="1490" spans="1:9" x14ac:dyDescent="0.2">
      <c r="A1490" s="193">
        <v>1938000780</v>
      </c>
      <c r="B1490" s="193" t="s">
        <v>580</v>
      </c>
      <c r="C1490" s="195">
        <v>50000</v>
      </c>
      <c r="D1490" s="195">
        <v>34893.339999999997</v>
      </c>
      <c r="E1490" s="195">
        <v>55000</v>
      </c>
      <c r="F1490" s="195">
        <v>40410.65</v>
      </c>
      <c r="G1490" s="195">
        <v>41921.9</v>
      </c>
      <c r="H1490" s="195">
        <v>47720.72</v>
      </c>
      <c r="I1490" s="195">
        <v>46119.360000000001</v>
      </c>
    </row>
    <row r="1491" spans="1:9" x14ac:dyDescent="0.2">
      <c r="A1491" s="193">
        <v>1938000910</v>
      </c>
      <c r="B1491" s="193" t="s">
        <v>901</v>
      </c>
      <c r="C1491" s="195">
        <v>65000</v>
      </c>
      <c r="E1491" s="195">
        <v>218000</v>
      </c>
      <c r="F1491" s="195">
        <v>197109</v>
      </c>
      <c r="H1491" s="195">
        <v>60000</v>
      </c>
      <c r="I1491" s="195">
        <v>60000</v>
      </c>
    </row>
    <row r="1492" spans="1:9" x14ac:dyDescent="0.2">
      <c r="A1492" s="193">
        <v>1938000980</v>
      </c>
      <c r="B1492" s="193" t="s">
        <v>580</v>
      </c>
      <c r="C1492" s="195">
        <v>90000</v>
      </c>
      <c r="D1492" s="195">
        <v>60873.599999999999</v>
      </c>
      <c r="E1492" s="195">
        <v>90000</v>
      </c>
      <c r="F1492" s="195">
        <v>89456.84</v>
      </c>
      <c r="G1492" s="195">
        <v>32613.919999999998</v>
      </c>
      <c r="H1492" s="195">
        <v>42351.1</v>
      </c>
      <c r="I1492" s="195">
        <v>10980</v>
      </c>
    </row>
    <row r="1493" spans="1:9" x14ac:dyDescent="0.2">
      <c r="A1493" s="193">
        <v>1938000981</v>
      </c>
      <c r="B1493" s="193" t="s">
        <v>74</v>
      </c>
      <c r="F1493" s="195">
        <v>406</v>
      </c>
    </row>
    <row r="1494" spans="1:9" x14ac:dyDescent="0.2">
      <c r="A1494" s="193">
        <v>1938001110</v>
      </c>
      <c r="B1494" s="193" t="s">
        <v>218</v>
      </c>
    </row>
    <row r="1495" spans="1:9" x14ac:dyDescent="0.2">
      <c r="A1495" s="193">
        <v>1938001731</v>
      </c>
      <c r="B1495" s="193" t="s">
        <v>1453</v>
      </c>
      <c r="C1495" s="195">
        <v>20000</v>
      </c>
      <c r="D1495" s="195">
        <v>3126.85</v>
      </c>
      <c r="E1495" s="195">
        <v>20000</v>
      </c>
      <c r="F1495" s="195">
        <v>14549.52</v>
      </c>
    </row>
    <row r="1496" spans="1:9" x14ac:dyDescent="0.2">
      <c r="A1496" s="193">
        <v>1938010110</v>
      </c>
      <c r="B1496" s="193" t="s">
        <v>1476</v>
      </c>
      <c r="F1496" s="195">
        <v>8061.75</v>
      </c>
    </row>
    <row r="1497" spans="1:9" x14ac:dyDescent="0.2">
      <c r="A1497" s="193">
        <v>1938100110</v>
      </c>
      <c r="B1497" s="193" t="s">
        <v>523</v>
      </c>
      <c r="C1497" s="195">
        <v>741545</v>
      </c>
      <c r="D1497" s="195">
        <v>615355.14</v>
      </c>
      <c r="E1497" s="195">
        <v>741545</v>
      </c>
      <c r="F1497" s="195">
        <v>841810.33</v>
      </c>
      <c r="G1497" s="195">
        <v>786869.77</v>
      </c>
      <c r="H1497" s="195">
        <v>615977.62</v>
      </c>
      <c r="I1497" s="195">
        <v>496731.03</v>
      </c>
    </row>
    <row r="1498" spans="1:9" x14ac:dyDescent="0.2">
      <c r="A1498" s="193">
        <v>1938100560</v>
      </c>
      <c r="B1498" s="193" t="s">
        <v>820</v>
      </c>
      <c r="C1498" s="195">
        <v>1000</v>
      </c>
      <c r="E1498" s="195">
        <v>1000</v>
      </c>
      <c r="I1498" s="195">
        <v>521</v>
      </c>
    </row>
    <row r="1499" spans="1:9" x14ac:dyDescent="0.2">
      <c r="A1499" s="193">
        <v>1938100570</v>
      </c>
      <c r="B1499" s="193" t="s">
        <v>219</v>
      </c>
    </row>
    <row r="1500" spans="1:9" x14ac:dyDescent="0.2">
      <c r="A1500" s="193">
        <v>1938100780</v>
      </c>
      <c r="B1500" s="193" t="s">
        <v>580</v>
      </c>
      <c r="C1500" s="195">
        <v>4000</v>
      </c>
      <c r="D1500" s="195">
        <v>1812.02</v>
      </c>
      <c r="E1500" s="195">
        <v>4000</v>
      </c>
      <c r="F1500" s="195">
        <v>4466.8999999999996</v>
      </c>
      <c r="G1500" s="195">
        <v>4019.93</v>
      </c>
      <c r="H1500" s="195">
        <v>3921.41</v>
      </c>
      <c r="I1500" s="195">
        <v>2589.66</v>
      </c>
    </row>
    <row r="1501" spans="1:9" x14ac:dyDescent="0.2">
      <c r="A1501" s="193">
        <v>1939000110</v>
      </c>
      <c r="B1501" s="193" t="s">
        <v>523</v>
      </c>
      <c r="C1501" s="195">
        <v>1924156</v>
      </c>
      <c r="D1501" s="195">
        <v>1493861.96</v>
      </c>
      <c r="E1501" s="195">
        <v>1924156</v>
      </c>
      <c r="F1501" s="195">
        <v>2361519.2999999998</v>
      </c>
      <c r="G1501" s="195">
        <v>2257548.42</v>
      </c>
      <c r="H1501" s="195">
        <v>2168114.67</v>
      </c>
      <c r="I1501" s="195">
        <v>2067044.91</v>
      </c>
    </row>
    <row r="1502" spans="1:9" x14ac:dyDescent="0.2">
      <c r="A1502" s="193">
        <v>1939000210</v>
      </c>
      <c r="B1502" s="193" t="s">
        <v>1475</v>
      </c>
      <c r="C1502" s="195">
        <v>55760</v>
      </c>
      <c r="D1502" s="195">
        <v>23430.97</v>
      </c>
      <c r="E1502" s="195">
        <v>55760</v>
      </c>
      <c r="F1502" s="195">
        <v>7584.16</v>
      </c>
    </row>
    <row r="1503" spans="1:9" x14ac:dyDescent="0.2">
      <c r="A1503" s="193">
        <v>1939000410</v>
      </c>
      <c r="B1503" s="193" t="s">
        <v>902</v>
      </c>
      <c r="C1503" s="195">
        <v>385000</v>
      </c>
      <c r="D1503" s="195">
        <v>151658.17000000001</v>
      </c>
      <c r="E1503" s="195">
        <v>350000</v>
      </c>
      <c r="F1503" s="195">
        <v>272334.96999999997</v>
      </c>
      <c r="G1503" s="195">
        <v>300443.94</v>
      </c>
      <c r="H1503" s="195">
        <v>140100.01999999999</v>
      </c>
      <c r="I1503" s="195">
        <v>266603.59999999998</v>
      </c>
    </row>
    <row r="1504" spans="1:9" x14ac:dyDescent="0.2">
      <c r="A1504" s="193">
        <v>1939000511</v>
      </c>
      <c r="B1504" s="193" t="s">
        <v>220</v>
      </c>
    </row>
    <row r="1505" spans="1:9" x14ac:dyDescent="0.2">
      <c r="A1505" s="193">
        <v>1939000512</v>
      </c>
      <c r="B1505" s="193" t="s">
        <v>1127</v>
      </c>
    </row>
    <row r="1506" spans="1:9" x14ac:dyDescent="0.2">
      <c r="A1506" s="193">
        <v>1939000560</v>
      </c>
      <c r="B1506" s="193" t="s">
        <v>820</v>
      </c>
      <c r="C1506" s="195">
        <v>500</v>
      </c>
      <c r="D1506" s="195">
        <v>161.07</v>
      </c>
      <c r="E1506" s="195">
        <v>500</v>
      </c>
      <c r="F1506" s="195">
        <v>478.1</v>
      </c>
      <c r="G1506" s="195">
        <v>880.95</v>
      </c>
      <c r="H1506" s="195">
        <v>214.42</v>
      </c>
      <c r="I1506" s="195">
        <v>123.5</v>
      </c>
    </row>
    <row r="1507" spans="1:9" x14ac:dyDescent="0.2">
      <c r="A1507" s="193">
        <v>1939000730</v>
      </c>
      <c r="B1507" s="193" t="s">
        <v>903</v>
      </c>
      <c r="C1507" s="195">
        <v>100000</v>
      </c>
      <c r="D1507" s="195">
        <v>26978.720000000001</v>
      </c>
      <c r="E1507" s="195">
        <v>120000</v>
      </c>
      <c r="F1507" s="195">
        <v>125609.79</v>
      </c>
      <c r="G1507" s="195">
        <v>115789.6</v>
      </c>
      <c r="H1507" s="195">
        <v>117429.65</v>
      </c>
      <c r="I1507" s="195">
        <v>74414.100000000006</v>
      </c>
    </row>
    <row r="1508" spans="1:9" x14ac:dyDescent="0.2">
      <c r="A1508" s="193">
        <v>1939000731</v>
      </c>
      <c r="B1508" s="193" t="s">
        <v>904</v>
      </c>
      <c r="C1508" s="195">
        <v>168000</v>
      </c>
      <c r="D1508" s="195">
        <v>144788.92000000001</v>
      </c>
      <c r="E1508" s="195">
        <v>102000</v>
      </c>
      <c r="F1508" s="195">
        <v>99375.81</v>
      </c>
      <c r="G1508" s="195">
        <v>231726.19</v>
      </c>
      <c r="H1508" s="195">
        <v>197012.75</v>
      </c>
      <c r="I1508" s="195">
        <v>137210.99</v>
      </c>
    </row>
    <row r="1509" spans="1:9" x14ac:dyDescent="0.2">
      <c r="A1509" s="193">
        <v>1939000780</v>
      </c>
      <c r="B1509" s="193" t="s">
        <v>580</v>
      </c>
      <c r="C1509" s="195">
        <v>1000</v>
      </c>
      <c r="D1509" s="195">
        <v>181.72</v>
      </c>
      <c r="E1509" s="195">
        <v>1000</v>
      </c>
      <c r="F1509" s="195">
        <v>2595.8200000000002</v>
      </c>
      <c r="G1509" s="195">
        <v>834.19</v>
      </c>
      <c r="H1509" s="195">
        <v>1093.6199999999999</v>
      </c>
      <c r="I1509" s="195">
        <v>1089.1600000000001</v>
      </c>
    </row>
    <row r="1510" spans="1:9" x14ac:dyDescent="0.2">
      <c r="A1510" s="193">
        <v>1939000980</v>
      </c>
      <c r="B1510" s="193" t="s">
        <v>580</v>
      </c>
      <c r="C1510" s="195">
        <v>7000</v>
      </c>
      <c r="D1510" s="195">
        <v>5862.5</v>
      </c>
      <c r="E1510" s="195">
        <v>7000</v>
      </c>
      <c r="F1510" s="195">
        <v>6961.9</v>
      </c>
      <c r="G1510" s="195">
        <v>3888</v>
      </c>
      <c r="H1510" s="195">
        <v>3750</v>
      </c>
      <c r="I1510" s="195">
        <v>11913</v>
      </c>
    </row>
    <row r="1511" spans="1:9" x14ac:dyDescent="0.2">
      <c r="A1511" s="193">
        <v>1939000981</v>
      </c>
      <c r="B1511" s="193" t="s">
        <v>74</v>
      </c>
      <c r="F1511" s="195">
        <v>12</v>
      </c>
    </row>
    <row r="1512" spans="1:9" x14ac:dyDescent="0.2">
      <c r="A1512" s="193">
        <v>1939001410</v>
      </c>
      <c r="B1512" s="193" t="s">
        <v>345</v>
      </c>
    </row>
    <row r="1513" spans="1:9" x14ac:dyDescent="0.2">
      <c r="A1513" s="193">
        <v>1939001731</v>
      </c>
      <c r="B1513" s="193" t="s">
        <v>221</v>
      </c>
      <c r="F1513" s="195">
        <v>1862</v>
      </c>
    </row>
    <row r="1514" spans="1:9" x14ac:dyDescent="0.2">
      <c r="A1514" s="193">
        <v>1939002530</v>
      </c>
      <c r="B1514" s="193" t="s">
        <v>1474</v>
      </c>
      <c r="C1514" s="195">
        <v>100000</v>
      </c>
      <c r="D1514" s="195">
        <v>65443.65</v>
      </c>
      <c r="E1514" s="195">
        <v>70000</v>
      </c>
      <c r="F1514" s="195">
        <v>58725.29</v>
      </c>
    </row>
    <row r="1515" spans="1:9" x14ac:dyDescent="0.2">
      <c r="A1515" s="193">
        <v>1939002731</v>
      </c>
      <c r="B1515" s="193" t="s">
        <v>1473</v>
      </c>
      <c r="F1515" s="195">
        <v>172</v>
      </c>
    </row>
    <row r="1516" spans="1:9" x14ac:dyDescent="0.2">
      <c r="A1516" s="193">
        <v>1939003530</v>
      </c>
      <c r="B1516" s="193" t="s">
        <v>1472</v>
      </c>
      <c r="C1516" s="195">
        <v>60000</v>
      </c>
      <c r="D1516" s="195">
        <v>33967.51</v>
      </c>
      <c r="E1516" s="195">
        <v>80000</v>
      </c>
      <c r="F1516" s="195">
        <v>2802.76</v>
      </c>
    </row>
    <row r="1517" spans="1:9" x14ac:dyDescent="0.2">
      <c r="A1517" s="193">
        <v>1939003731</v>
      </c>
      <c r="B1517" s="193" t="s">
        <v>905</v>
      </c>
      <c r="C1517" s="195">
        <v>5000</v>
      </c>
      <c r="D1517" s="195">
        <v>3203.44</v>
      </c>
      <c r="E1517" s="195">
        <v>4000</v>
      </c>
      <c r="F1517" s="195">
        <v>4578.05</v>
      </c>
      <c r="G1517" s="195">
        <v>3197</v>
      </c>
      <c r="H1517" s="195">
        <v>4345.7</v>
      </c>
      <c r="I1517" s="195">
        <v>4996.38</v>
      </c>
    </row>
    <row r="1518" spans="1:9" x14ac:dyDescent="0.2">
      <c r="A1518" s="193">
        <v>1939004731</v>
      </c>
      <c r="B1518" s="193" t="s">
        <v>906</v>
      </c>
      <c r="C1518" s="195">
        <v>50000</v>
      </c>
      <c r="D1518" s="195">
        <v>36836.120000000003</v>
      </c>
      <c r="E1518" s="195">
        <v>46000</v>
      </c>
      <c r="F1518" s="195">
        <v>37708.769999999997</v>
      </c>
      <c r="G1518" s="195">
        <v>40607.25</v>
      </c>
      <c r="H1518" s="195">
        <v>53625.66</v>
      </c>
      <c r="I1518" s="195">
        <v>80925.16</v>
      </c>
    </row>
    <row r="1519" spans="1:9" x14ac:dyDescent="0.2">
      <c r="A1519" s="193">
        <v>1939005731</v>
      </c>
      <c r="B1519" s="193" t="s">
        <v>222</v>
      </c>
    </row>
    <row r="1520" spans="1:9" x14ac:dyDescent="0.2">
      <c r="A1520" s="193">
        <v>1939006731</v>
      </c>
      <c r="B1520" s="193" t="s">
        <v>907</v>
      </c>
      <c r="C1520" s="195">
        <v>2500</v>
      </c>
      <c r="D1520" s="195">
        <v>868</v>
      </c>
      <c r="E1520" s="195">
        <v>2500</v>
      </c>
      <c r="F1520" s="195">
        <v>1713</v>
      </c>
      <c r="G1520" s="195">
        <v>2128.9499999999998</v>
      </c>
      <c r="H1520" s="195">
        <v>1621</v>
      </c>
      <c r="I1520" s="195">
        <v>3570</v>
      </c>
    </row>
    <row r="1521" spans="1:9" x14ac:dyDescent="0.2">
      <c r="A1521" s="193">
        <v>1939008731</v>
      </c>
      <c r="B1521" s="193" t="s">
        <v>223</v>
      </c>
      <c r="H1521" s="195">
        <v>139</v>
      </c>
    </row>
    <row r="1522" spans="1:9" x14ac:dyDescent="0.2">
      <c r="A1522" s="193">
        <v>1939009731</v>
      </c>
      <c r="B1522" s="193" t="s">
        <v>131</v>
      </c>
      <c r="C1522" s="195">
        <v>19000</v>
      </c>
      <c r="D1522" s="195">
        <v>18553.12</v>
      </c>
      <c r="E1522" s="195">
        <v>17000</v>
      </c>
      <c r="F1522" s="195">
        <v>17522.72</v>
      </c>
      <c r="G1522" s="195">
        <v>10258.58</v>
      </c>
      <c r="H1522" s="195">
        <v>28664.77</v>
      </c>
      <c r="I1522" s="195">
        <v>26248.720000000001</v>
      </c>
    </row>
    <row r="1523" spans="1:9" x14ac:dyDescent="0.2">
      <c r="A1523" s="193">
        <v>1939011731</v>
      </c>
      <c r="B1523" s="193" t="s">
        <v>908</v>
      </c>
      <c r="C1523" s="195">
        <v>2000</v>
      </c>
      <c r="D1523" s="195">
        <v>1469.3</v>
      </c>
      <c r="E1523" s="195">
        <v>2000</v>
      </c>
      <c r="F1523" s="195">
        <v>1876</v>
      </c>
      <c r="G1523" s="195">
        <v>2720</v>
      </c>
      <c r="H1523" s="195">
        <v>5525</v>
      </c>
      <c r="I1523" s="195">
        <v>909</v>
      </c>
    </row>
    <row r="1524" spans="1:9" x14ac:dyDescent="0.2">
      <c r="A1524" s="193">
        <v>1939012731</v>
      </c>
      <c r="B1524" s="193" t="s">
        <v>909</v>
      </c>
      <c r="C1524" s="195">
        <v>1200</v>
      </c>
      <c r="D1524" s="195">
        <v>800</v>
      </c>
      <c r="E1524" s="195">
        <v>1200</v>
      </c>
      <c r="F1524" s="195">
        <v>1146</v>
      </c>
      <c r="G1524" s="195">
        <v>1306</v>
      </c>
      <c r="H1524" s="195">
        <v>1286</v>
      </c>
      <c r="I1524" s="195">
        <v>804</v>
      </c>
    </row>
    <row r="1525" spans="1:9" x14ac:dyDescent="0.2">
      <c r="A1525" s="193">
        <v>1939013731</v>
      </c>
      <c r="B1525" s="193" t="s">
        <v>910</v>
      </c>
      <c r="C1525" s="195">
        <v>13000</v>
      </c>
      <c r="D1525" s="195">
        <v>7879.87</v>
      </c>
      <c r="E1525" s="195">
        <v>16000</v>
      </c>
      <c r="F1525" s="195">
        <v>17632.73</v>
      </c>
      <c r="G1525" s="195">
        <v>12382.06</v>
      </c>
      <c r="H1525" s="195">
        <v>21000.05</v>
      </c>
      <c r="I1525" s="195">
        <v>18424.86</v>
      </c>
    </row>
    <row r="1526" spans="1:9" x14ac:dyDescent="0.2">
      <c r="A1526" s="193">
        <v>1939014530</v>
      </c>
      <c r="B1526" s="193" t="s">
        <v>90</v>
      </c>
      <c r="C1526" s="195">
        <v>100000</v>
      </c>
      <c r="D1526" s="195">
        <v>65516.09</v>
      </c>
      <c r="E1526" s="195">
        <v>115000</v>
      </c>
      <c r="F1526" s="195">
        <v>66734.880000000005</v>
      </c>
    </row>
    <row r="1527" spans="1:9" x14ac:dyDescent="0.2">
      <c r="A1527" s="193">
        <v>1939014731</v>
      </c>
      <c r="B1527" s="193" t="s">
        <v>1471</v>
      </c>
      <c r="F1527" s="195">
        <v>-2179</v>
      </c>
    </row>
    <row r="1528" spans="1:9" x14ac:dyDescent="0.2">
      <c r="A1528" s="193">
        <v>1939015731</v>
      </c>
      <c r="B1528" s="193" t="s">
        <v>1470</v>
      </c>
      <c r="D1528" s="195">
        <v>1287.17</v>
      </c>
    </row>
    <row r="1529" spans="1:9" x14ac:dyDescent="0.2">
      <c r="A1529" s="193">
        <v>1939018731</v>
      </c>
      <c r="B1529" s="193" t="s">
        <v>911</v>
      </c>
      <c r="H1529" s="195">
        <v>2658.51</v>
      </c>
      <c r="I1529" s="195">
        <v>16560.79</v>
      </c>
    </row>
    <row r="1530" spans="1:9" x14ac:dyDescent="0.2">
      <c r="A1530" s="193">
        <v>1939019731</v>
      </c>
      <c r="B1530" s="193" t="s">
        <v>810</v>
      </c>
      <c r="C1530" s="195">
        <v>24000</v>
      </c>
      <c r="D1530" s="195">
        <v>16594.669999999998</v>
      </c>
      <c r="E1530" s="195">
        <v>10500</v>
      </c>
      <c r="F1530" s="195">
        <v>16056.43</v>
      </c>
      <c r="G1530" s="195">
        <v>2250</v>
      </c>
    </row>
    <row r="1531" spans="1:9" x14ac:dyDescent="0.2">
      <c r="A1531" s="193">
        <v>1939022731</v>
      </c>
      <c r="B1531" s="193" t="s">
        <v>224</v>
      </c>
    </row>
    <row r="1532" spans="1:9" x14ac:dyDescent="0.2">
      <c r="A1532" s="193">
        <v>1939033731</v>
      </c>
      <c r="B1532" s="193" t="s">
        <v>1469</v>
      </c>
      <c r="C1532" s="195">
        <v>800</v>
      </c>
      <c r="D1532" s="195">
        <v>556</v>
      </c>
    </row>
    <row r="1533" spans="1:9" x14ac:dyDescent="0.2">
      <c r="A1533" s="193">
        <v>1939043731</v>
      </c>
      <c r="B1533" s="193" t="s">
        <v>1468</v>
      </c>
      <c r="C1533" s="195">
        <v>10000</v>
      </c>
      <c r="D1533" s="195">
        <v>6011.49</v>
      </c>
    </row>
    <row r="1534" spans="1:9" x14ac:dyDescent="0.2">
      <c r="A1534" s="193">
        <v>1939100530</v>
      </c>
      <c r="B1534" s="193" t="s">
        <v>1467</v>
      </c>
      <c r="E1534" s="195">
        <v>75000</v>
      </c>
      <c r="F1534" s="195">
        <v>119.51</v>
      </c>
    </row>
    <row r="1535" spans="1:9" x14ac:dyDescent="0.2">
      <c r="A1535" s="193">
        <v>1939100730</v>
      </c>
      <c r="B1535" s="193" t="s">
        <v>1466</v>
      </c>
      <c r="C1535" s="195">
        <v>50000</v>
      </c>
      <c r="D1535" s="195">
        <v>516</v>
      </c>
      <c r="E1535" s="195">
        <v>53000</v>
      </c>
    </row>
    <row r="1536" spans="1:9" x14ac:dyDescent="0.2">
      <c r="A1536" s="193">
        <v>1939111731</v>
      </c>
      <c r="B1536" s="193" t="s">
        <v>225</v>
      </c>
      <c r="E1536" s="195">
        <v>54506</v>
      </c>
    </row>
    <row r="1537" spans="1:9" x14ac:dyDescent="0.2">
      <c r="A1537" s="193">
        <v>1939200731</v>
      </c>
      <c r="B1537" s="193" t="s">
        <v>1331</v>
      </c>
    </row>
    <row r="1538" spans="1:9" x14ac:dyDescent="0.2">
      <c r="A1538" s="193">
        <v>1970000399</v>
      </c>
      <c r="B1538" s="193" t="s">
        <v>24</v>
      </c>
    </row>
    <row r="1539" spans="1:9" x14ac:dyDescent="0.2">
      <c r="A1539" s="193">
        <v>1972000110</v>
      </c>
      <c r="B1539" s="193" t="s">
        <v>523</v>
      </c>
      <c r="D1539" s="195">
        <v>-0.01</v>
      </c>
      <c r="H1539" s="195">
        <v>334.23</v>
      </c>
      <c r="I1539" s="195">
        <v>23.39</v>
      </c>
    </row>
    <row r="1540" spans="1:9" x14ac:dyDescent="0.2">
      <c r="A1540" s="193">
        <v>1972000420</v>
      </c>
      <c r="B1540" s="193" t="s">
        <v>226</v>
      </c>
    </row>
    <row r="1541" spans="1:9" x14ac:dyDescent="0.2">
      <c r="A1541" s="193">
        <v>1972000440</v>
      </c>
      <c r="B1541" s="193" t="s">
        <v>227</v>
      </c>
    </row>
    <row r="1542" spans="1:9" x14ac:dyDescent="0.2">
      <c r="A1542" s="193">
        <v>1972000720</v>
      </c>
      <c r="B1542" s="193" t="s">
        <v>228</v>
      </c>
    </row>
    <row r="1543" spans="1:9" x14ac:dyDescent="0.2">
      <c r="A1543" s="193">
        <v>1972000731</v>
      </c>
      <c r="B1543" s="193" t="s">
        <v>1261</v>
      </c>
      <c r="I1543" s="195">
        <v>46.92</v>
      </c>
    </row>
    <row r="1544" spans="1:9" x14ac:dyDescent="0.2">
      <c r="A1544" s="193">
        <v>1972000740</v>
      </c>
      <c r="B1544" s="193" t="s">
        <v>737</v>
      </c>
    </row>
    <row r="1545" spans="1:9" x14ac:dyDescent="0.2">
      <c r="A1545" s="193">
        <v>1972000743</v>
      </c>
      <c r="B1545" s="193" t="s">
        <v>737</v>
      </c>
    </row>
    <row r="1546" spans="1:9" x14ac:dyDescent="0.2">
      <c r="A1546" s="193">
        <v>1972000750</v>
      </c>
      <c r="B1546" s="193" t="s">
        <v>912</v>
      </c>
      <c r="C1546" s="195">
        <v>100000</v>
      </c>
      <c r="D1546" s="195">
        <v>51760.09</v>
      </c>
      <c r="E1546" s="195">
        <v>100000</v>
      </c>
      <c r="F1546" s="195">
        <v>101710.64</v>
      </c>
      <c r="G1546" s="195">
        <v>115623.83</v>
      </c>
      <c r="H1546" s="195">
        <v>253983.87</v>
      </c>
      <c r="I1546" s="195">
        <v>246507.17</v>
      </c>
    </row>
    <row r="1547" spans="1:9" x14ac:dyDescent="0.2">
      <c r="A1547" s="193">
        <v>1972000752</v>
      </c>
      <c r="B1547" s="193" t="s">
        <v>229</v>
      </c>
    </row>
    <row r="1548" spans="1:9" x14ac:dyDescent="0.2">
      <c r="A1548" s="193">
        <v>1972000770</v>
      </c>
      <c r="B1548" s="193" t="s">
        <v>740</v>
      </c>
      <c r="C1548" s="195">
        <v>15000</v>
      </c>
      <c r="D1548" s="195">
        <v>9157</v>
      </c>
      <c r="E1548" s="195">
        <v>15000</v>
      </c>
      <c r="F1548" s="195">
        <v>13530.36</v>
      </c>
      <c r="G1548" s="195">
        <v>10850.87</v>
      </c>
      <c r="H1548" s="195">
        <v>-35437.29</v>
      </c>
      <c r="I1548" s="195">
        <v>6793.83</v>
      </c>
    </row>
    <row r="1549" spans="1:9" x14ac:dyDescent="0.2">
      <c r="A1549" s="193">
        <v>1972000780</v>
      </c>
      <c r="B1549" s="193" t="s">
        <v>913</v>
      </c>
      <c r="C1549" s="195">
        <v>2000</v>
      </c>
      <c r="D1549" s="195">
        <v>1136.4000000000001</v>
      </c>
      <c r="E1549" s="195">
        <v>2000</v>
      </c>
      <c r="F1549" s="195">
        <v>2751.76</v>
      </c>
      <c r="G1549" s="195">
        <v>3317.04</v>
      </c>
      <c r="H1549" s="195">
        <v>2595.7399999999998</v>
      </c>
      <c r="I1549" s="195">
        <v>2954.33</v>
      </c>
    </row>
    <row r="1550" spans="1:9" x14ac:dyDescent="0.2">
      <c r="A1550" s="193">
        <v>1972000930</v>
      </c>
      <c r="B1550" s="193" t="s">
        <v>737</v>
      </c>
    </row>
    <row r="1551" spans="1:9" x14ac:dyDescent="0.2">
      <c r="A1551" s="193">
        <v>1972001731</v>
      </c>
      <c r="B1551" s="193" t="s">
        <v>230</v>
      </c>
    </row>
    <row r="1552" spans="1:9" x14ac:dyDescent="0.2">
      <c r="A1552" s="193">
        <v>1972002731</v>
      </c>
      <c r="B1552" s="193" t="s">
        <v>1262</v>
      </c>
      <c r="I1552" s="195">
        <v>64.959999999999994</v>
      </c>
    </row>
    <row r="1553" spans="1:9" x14ac:dyDescent="0.2">
      <c r="A1553" s="193">
        <v>1972003731</v>
      </c>
      <c r="B1553" s="193" t="s">
        <v>1263</v>
      </c>
      <c r="I1553" s="195">
        <v>54.03</v>
      </c>
    </row>
    <row r="1554" spans="1:9" x14ac:dyDescent="0.2">
      <c r="A1554" s="193">
        <v>1972004731</v>
      </c>
      <c r="B1554" s="193" t="s">
        <v>231</v>
      </c>
    </row>
    <row r="1555" spans="1:9" x14ac:dyDescent="0.2">
      <c r="A1555" s="193">
        <v>1972005731</v>
      </c>
      <c r="B1555" s="193" t="s">
        <v>232</v>
      </c>
    </row>
    <row r="1556" spans="1:9" x14ac:dyDescent="0.2">
      <c r="A1556" s="193">
        <v>1972007731</v>
      </c>
      <c r="B1556" s="193" t="s">
        <v>233</v>
      </c>
    </row>
    <row r="1557" spans="1:9" x14ac:dyDescent="0.2">
      <c r="A1557" s="193">
        <v>1980000310</v>
      </c>
      <c r="B1557" s="193" t="s">
        <v>539</v>
      </c>
      <c r="C1557" s="195">
        <v>26400</v>
      </c>
      <c r="D1557" s="195">
        <v>12125</v>
      </c>
      <c r="E1557" s="195">
        <v>26400</v>
      </c>
      <c r="F1557" s="195">
        <v>27675</v>
      </c>
      <c r="G1557" s="195">
        <v>38083</v>
      </c>
      <c r="H1557" s="195">
        <v>20373</v>
      </c>
      <c r="I1557" s="195">
        <v>30951</v>
      </c>
    </row>
    <row r="1558" spans="1:9" x14ac:dyDescent="0.2">
      <c r="A1558" s="193">
        <v>1980000312</v>
      </c>
      <c r="B1558" s="193" t="s">
        <v>540</v>
      </c>
      <c r="C1558" s="195">
        <v>225000</v>
      </c>
      <c r="D1558" s="195">
        <v>179809.21</v>
      </c>
      <c r="E1558" s="195">
        <v>225000</v>
      </c>
      <c r="F1558" s="195">
        <v>157881.54999999999</v>
      </c>
      <c r="G1558" s="195">
        <v>112495.48</v>
      </c>
      <c r="H1558" s="195">
        <v>88753.49</v>
      </c>
      <c r="I1558" s="195">
        <v>49338.85</v>
      </c>
    </row>
    <row r="1559" spans="1:9" x14ac:dyDescent="0.2">
      <c r="A1559" s="193">
        <v>1980000733</v>
      </c>
      <c r="B1559" s="193" t="s">
        <v>914</v>
      </c>
    </row>
    <row r="1560" spans="1:9" x14ac:dyDescent="0.2">
      <c r="A1560" s="193">
        <v>1990000399</v>
      </c>
      <c r="B1560" s="193" t="s">
        <v>1266</v>
      </c>
      <c r="I1560" s="195">
        <v>-34010</v>
      </c>
    </row>
    <row r="1561" spans="1:9" x14ac:dyDescent="0.2">
      <c r="A1561" s="193">
        <v>1991000110</v>
      </c>
      <c r="B1561" s="193" t="s">
        <v>1267</v>
      </c>
      <c r="D1561" s="195">
        <v>-16385</v>
      </c>
      <c r="I1561" s="195">
        <v>-16495</v>
      </c>
    </row>
    <row r="1562" spans="1:9" x14ac:dyDescent="0.2">
      <c r="A1562" s="193">
        <v>1991000310</v>
      </c>
      <c r="B1562" s="193" t="s">
        <v>539</v>
      </c>
      <c r="C1562" s="195">
        <v>31859751</v>
      </c>
      <c r="D1562" s="195">
        <v>24111823.469999999</v>
      </c>
      <c r="E1562" s="195">
        <v>31859751</v>
      </c>
      <c r="F1562" s="195">
        <v>29708325.280000001</v>
      </c>
      <c r="G1562" s="195">
        <v>29249693.420000002</v>
      </c>
      <c r="H1562" s="195">
        <v>29035999.809999999</v>
      </c>
      <c r="I1562" s="195">
        <v>28612548.809999999</v>
      </c>
    </row>
    <row r="1563" spans="1:9" x14ac:dyDescent="0.2">
      <c r="A1563" s="193">
        <v>1991000314</v>
      </c>
      <c r="B1563" s="193" t="s">
        <v>158</v>
      </c>
    </row>
    <row r="1564" spans="1:9" x14ac:dyDescent="0.2">
      <c r="A1564" s="193">
        <v>1991000320</v>
      </c>
      <c r="B1564" s="193" t="s">
        <v>541</v>
      </c>
      <c r="C1564" s="195">
        <v>1500000</v>
      </c>
      <c r="D1564" s="195">
        <v>5546008.7000000002</v>
      </c>
      <c r="E1564" s="195">
        <v>1921669</v>
      </c>
      <c r="F1564" s="195">
        <v>4448418.66</v>
      </c>
      <c r="G1564" s="195">
        <v>590185.18999999994</v>
      </c>
      <c r="H1564" s="195">
        <v>1457517.6</v>
      </c>
      <c r="I1564" s="195">
        <v>1299098.82</v>
      </c>
    </row>
    <row r="1565" spans="1:9" x14ac:dyDescent="0.2">
      <c r="A1565" s="193">
        <v>1991000523</v>
      </c>
      <c r="B1565" s="193" t="s">
        <v>1075</v>
      </c>
      <c r="C1565" s="195">
        <v>329000</v>
      </c>
      <c r="D1565" s="195">
        <v>361310</v>
      </c>
      <c r="E1565" s="195">
        <v>329000</v>
      </c>
      <c r="F1565" s="195">
        <v>328657.2</v>
      </c>
      <c r="G1565" s="195">
        <v>316898.71000000002</v>
      </c>
      <c r="H1565" s="195">
        <v>291072</v>
      </c>
      <c r="I1565" s="195">
        <v>260508.14</v>
      </c>
    </row>
    <row r="1566" spans="1:9" x14ac:dyDescent="0.2">
      <c r="A1566" s="193">
        <v>1991000810</v>
      </c>
      <c r="B1566" s="193" t="s">
        <v>234</v>
      </c>
    </row>
    <row r="1567" spans="1:9" x14ac:dyDescent="0.2">
      <c r="A1567" s="193">
        <v>1993000980</v>
      </c>
      <c r="B1567" s="193" t="s">
        <v>1076</v>
      </c>
      <c r="C1567" s="195">
        <v>1000000</v>
      </c>
      <c r="D1567" s="195">
        <v>1299597.23</v>
      </c>
      <c r="E1567" s="195">
        <v>3106000</v>
      </c>
      <c r="F1567" s="195">
        <v>2480453.06</v>
      </c>
      <c r="G1567" s="195">
        <v>1987443.62</v>
      </c>
      <c r="H1567" s="195">
        <v>703050.39</v>
      </c>
      <c r="I1567" s="195">
        <v>473197.16</v>
      </c>
    </row>
    <row r="1568" spans="1:9" x14ac:dyDescent="0.2">
      <c r="A1568" s="193">
        <v>1994000750</v>
      </c>
      <c r="B1568" s="193" t="s">
        <v>235</v>
      </c>
    </row>
    <row r="1569" spans="1:9" x14ac:dyDescent="0.2">
      <c r="A1569" s="193">
        <v>1994000980</v>
      </c>
      <c r="B1569" s="193" t="s">
        <v>236</v>
      </c>
    </row>
    <row r="1570" spans="1:9" x14ac:dyDescent="0.2">
      <c r="A1570" s="193">
        <v>1995000860</v>
      </c>
      <c r="B1570" s="193" t="s">
        <v>1078</v>
      </c>
      <c r="C1570" s="195">
        <v>18690000</v>
      </c>
      <c r="E1570" s="195">
        <v>18690000</v>
      </c>
      <c r="F1570" s="195">
        <v>19878196.66</v>
      </c>
      <c r="G1570" s="195">
        <v>17863480.800000001</v>
      </c>
      <c r="H1570" s="195">
        <v>17851000</v>
      </c>
      <c r="I1570" s="195">
        <v>17399429</v>
      </c>
    </row>
    <row r="1571" spans="1:9" x14ac:dyDescent="0.2">
      <c r="A1571" s="193">
        <v>1995000861</v>
      </c>
      <c r="B1571" s="193" t="s">
        <v>237</v>
      </c>
    </row>
    <row r="1572" spans="1:9" x14ac:dyDescent="0.2">
      <c r="A1572" s="193">
        <v>1995000862</v>
      </c>
      <c r="B1572" s="193" t="s">
        <v>238</v>
      </c>
    </row>
    <row r="1573" spans="1:9" x14ac:dyDescent="0.2">
      <c r="A1573" s="193">
        <v>1995000863</v>
      </c>
      <c r="B1573" s="193" t="s">
        <v>1268</v>
      </c>
      <c r="I1573" s="195">
        <v>350000</v>
      </c>
    </row>
    <row r="1574" spans="1:9" x14ac:dyDescent="0.2">
      <c r="A1574" s="193">
        <v>1999000980</v>
      </c>
      <c r="B1574" s="193" t="s">
        <v>239</v>
      </c>
    </row>
    <row r="1575" spans="1:9" x14ac:dyDescent="0.2">
      <c r="A1575" s="193">
        <v>1999999999</v>
      </c>
      <c r="B1575" s="193" t="s">
        <v>240</v>
      </c>
      <c r="C1575" s="195">
        <v>500000</v>
      </c>
      <c r="E1575" s="195">
        <v>500000</v>
      </c>
    </row>
    <row r="1578" spans="1:9" s="194" customFormat="1" x14ac:dyDescent="0.2">
      <c r="C1578" s="196">
        <f>SUM(C397:C1577)</f>
        <v>345632213</v>
      </c>
      <c r="D1578" s="196">
        <f t="shared" ref="D1578:I1578" si="1">SUM(D397:D1577)</f>
        <v>247416125.45000005</v>
      </c>
      <c r="E1578" s="196">
        <f t="shared" si="1"/>
        <v>354730102</v>
      </c>
      <c r="F1578" s="196">
        <f t="shared" si="1"/>
        <v>359173164.99000025</v>
      </c>
      <c r="G1578" s="196">
        <f t="shared" si="1"/>
        <v>338286894.57000011</v>
      </c>
      <c r="H1578" s="196">
        <f t="shared" si="1"/>
        <v>313937144.81999993</v>
      </c>
      <c r="I1578" s="196">
        <f t="shared" si="1"/>
        <v>258904060.75000003</v>
      </c>
    </row>
    <row r="1580" spans="1:9" x14ac:dyDescent="0.2">
      <c r="C1580" s="195">
        <f>C396-C1578</f>
        <v>-9104078</v>
      </c>
      <c r="D1580" s="195">
        <f>D396-D1578</f>
        <v>-5685637.2100000978</v>
      </c>
      <c r="E1580" s="195">
        <f>E396-E1578</f>
        <v>0</v>
      </c>
      <c r="F1580" s="195">
        <f>F396-F1578</f>
        <v>-17773762.950000226</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FF00"/>
  </sheetPr>
  <dimension ref="A2:J42"/>
  <sheetViews>
    <sheetView rightToLeft="1" view="pageBreakPreview" topLeftCell="A22" zoomScale="115" zoomScaleSheetLayoutView="115" workbookViewId="0">
      <selection activeCell="J6" sqref="J6"/>
    </sheetView>
  </sheetViews>
  <sheetFormatPr baseColWidth="10" defaultColWidth="8.83203125" defaultRowHeight="13" x14ac:dyDescent="0.15"/>
  <cols>
    <col min="1" max="1" width="21.6640625" bestFit="1" customWidth="1"/>
    <col min="3" max="3" width="11.5" customWidth="1"/>
    <col min="4" max="4" width="14" bestFit="1" customWidth="1"/>
    <col min="5" max="5" width="11.33203125" customWidth="1"/>
    <col min="10" max="10" width="13.1640625" bestFit="1" customWidth="1"/>
  </cols>
  <sheetData>
    <row r="2" spans="1:10" ht="18" x14ac:dyDescent="0.2">
      <c r="C2" s="203" t="s">
        <v>1580</v>
      </c>
    </row>
    <row r="3" spans="1:10" x14ac:dyDescent="0.15">
      <c r="C3" s="56"/>
      <c r="E3" s="56"/>
    </row>
    <row r="4" spans="1:10" ht="16" x14ac:dyDescent="0.2">
      <c r="B4" s="200"/>
      <c r="C4" s="202">
        <v>2017</v>
      </c>
      <c r="D4" s="202">
        <v>2016</v>
      </c>
      <c r="E4" s="202" t="s">
        <v>1129</v>
      </c>
      <c r="I4" t="s">
        <v>1583</v>
      </c>
      <c r="J4" s="58">
        <v>7500000</v>
      </c>
    </row>
    <row r="5" spans="1:10" x14ac:dyDescent="0.15">
      <c r="A5" s="57" t="s">
        <v>1554</v>
      </c>
      <c r="B5" s="58"/>
      <c r="C5" s="228" t="e">
        <f>SUM(#REF!)</f>
        <v>#REF!</v>
      </c>
      <c r="D5" s="228" t="e">
        <f>SUM(#REF!)</f>
        <v>#REF!</v>
      </c>
      <c r="E5" s="175" t="e">
        <f>D5-C5</f>
        <v>#REF!</v>
      </c>
      <c r="H5" s="206" t="e">
        <f>C5/$C$38</f>
        <v>#REF!</v>
      </c>
      <c r="J5" s="58" t="e">
        <f>-$J$4*H5</f>
        <v>#REF!</v>
      </c>
    </row>
    <row r="6" spans="1:10" x14ac:dyDescent="0.15">
      <c r="A6" s="57" t="s">
        <v>1555</v>
      </c>
      <c r="B6" s="58"/>
      <c r="C6" s="228" t="e">
        <f>SUM(#REF!)</f>
        <v>#REF!</v>
      </c>
      <c r="D6" s="228" t="e">
        <f>SUM(#REF!)</f>
        <v>#REF!</v>
      </c>
      <c r="E6" s="175" t="e">
        <f t="shared" ref="E6:E35" si="0">D6-C6</f>
        <v>#REF!</v>
      </c>
      <c r="H6" s="206" t="e">
        <f t="shared" ref="H6:H35" si="1">C6/$C$38</f>
        <v>#REF!</v>
      </c>
      <c r="J6" s="58" t="e">
        <f t="shared" ref="J6:J35" si="2">-$J$4*H6</f>
        <v>#REF!</v>
      </c>
    </row>
    <row r="7" spans="1:10" x14ac:dyDescent="0.15">
      <c r="A7" s="57" t="s">
        <v>1556</v>
      </c>
      <c r="B7" s="58"/>
      <c r="C7" s="228" t="e">
        <f>SUM(#REF!)+#REF!+#REF!+#REF!</f>
        <v>#REF!</v>
      </c>
      <c r="D7" s="228" t="e">
        <f>SUM(#REF!)+#REF!+#REF!+#REF!</f>
        <v>#REF!</v>
      </c>
      <c r="E7" s="175" t="e">
        <f t="shared" si="0"/>
        <v>#REF!</v>
      </c>
      <c r="H7" s="206" t="e">
        <f t="shared" si="1"/>
        <v>#REF!</v>
      </c>
      <c r="J7" s="58" t="e">
        <f t="shared" si="2"/>
        <v>#REF!</v>
      </c>
    </row>
    <row r="8" spans="1:10" x14ac:dyDescent="0.15">
      <c r="A8" s="57" t="s">
        <v>1557</v>
      </c>
      <c r="B8" s="58"/>
      <c r="C8" s="228" t="e">
        <f>#REF!</f>
        <v>#REF!</v>
      </c>
      <c r="D8" s="228" t="e">
        <f>#REF!</f>
        <v>#REF!</v>
      </c>
      <c r="E8" s="175" t="e">
        <f t="shared" si="0"/>
        <v>#REF!</v>
      </c>
      <c r="H8" s="206" t="e">
        <f t="shared" si="1"/>
        <v>#REF!</v>
      </c>
      <c r="J8" s="58" t="e">
        <f t="shared" si="2"/>
        <v>#REF!</v>
      </c>
    </row>
    <row r="9" spans="1:10" x14ac:dyDescent="0.15">
      <c r="A9" s="57" t="s">
        <v>578</v>
      </c>
      <c r="B9" s="58"/>
      <c r="C9" s="228" t="e">
        <f>#REF!+#REF!+#REF!+#REF!+#REF!+#REF!</f>
        <v>#REF!</v>
      </c>
      <c r="D9" s="228" t="e">
        <f>#REF!+#REF!+#REF!+#REF!+#REF!+#REF!</f>
        <v>#REF!</v>
      </c>
      <c r="E9" s="175" t="e">
        <f t="shared" si="0"/>
        <v>#REF!</v>
      </c>
      <c r="H9" s="206" t="e">
        <f t="shared" si="1"/>
        <v>#REF!</v>
      </c>
      <c r="J9" s="58" t="e">
        <f t="shared" si="2"/>
        <v>#REF!</v>
      </c>
    </row>
    <row r="10" spans="1:10" x14ac:dyDescent="0.15">
      <c r="A10" s="57" t="s">
        <v>1566</v>
      </c>
      <c r="B10" s="58"/>
      <c r="C10" s="228" t="e">
        <f>SUM(#REF!)+#REF!</f>
        <v>#REF!</v>
      </c>
      <c r="D10" s="228" t="e">
        <f>SUM(#REF!)+#REF!</f>
        <v>#REF!</v>
      </c>
      <c r="E10" s="175" t="e">
        <f t="shared" si="0"/>
        <v>#REF!</v>
      </c>
      <c r="H10" s="206" t="e">
        <f t="shared" si="1"/>
        <v>#REF!</v>
      </c>
      <c r="J10" s="58" t="e">
        <f t="shared" si="2"/>
        <v>#REF!</v>
      </c>
    </row>
    <row r="11" spans="1:10" x14ac:dyDescent="0.15">
      <c r="A11" s="57" t="s">
        <v>1558</v>
      </c>
      <c r="B11" s="58"/>
      <c r="C11" s="228" t="e">
        <f>SUM(#REF!)</f>
        <v>#REF!</v>
      </c>
      <c r="D11" s="228" t="e">
        <f>SUM(#REF!)</f>
        <v>#REF!</v>
      </c>
      <c r="E11" s="175" t="e">
        <f t="shared" si="0"/>
        <v>#REF!</v>
      </c>
      <c r="H11" s="206" t="e">
        <f t="shared" si="1"/>
        <v>#REF!</v>
      </c>
      <c r="J11" s="58" t="e">
        <f t="shared" si="2"/>
        <v>#REF!</v>
      </c>
    </row>
    <row r="12" spans="1:10" x14ac:dyDescent="0.15">
      <c r="A12" s="57" t="s">
        <v>1559</v>
      </c>
      <c r="B12" s="58"/>
      <c r="C12" s="228" t="e">
        <f>SUM(#REF!)</f>
        <v>#REF!</v>
      </c>
      <c r="D12" s="228" t="e">
        <f>SUM(#REF!)</f>
        <v>#REF!</v>
      </c>
      <c r="E12" s="175" t="e">
        <f t="shared" si="0"/>
        <v>#REF!</v>
      </c>
      <c r="H12" s="206" t="e">
        <f t="shared" si="1"/>
        <v>#REF!</v>
      </c>
      <c r="J12" s="58" t="e">
        <f t="shared" si="2"/>
        <v>#REF!</v>
      </c>
    </row>
    <row r="13" spans="1:10" x14ac:dyDescent="0.15">
      <c r="A13" s="57" t="s">
        <v>1560</v>
      </c>
      <c r="B13" s="58"/>
      <c r="C13" s="228" t="e">
        <f>SUM(#REF!)</f>
        <v>#REF!</v>
      </c>
      <c r="D13" s="228" t="e">
        <f>SUM(#REF!)</f>
        <v>#REF!</v>
      </c>
      <c r="E13" s="175" t="e">
        <f t="shared" si="0"/>
        <v>#REF!</v>
      </c>
      <c r="H13" s="206" t="e">
        <f t="shared" si="1"/>
        <v>#REF!</v>
      </c>
      <c r="J13" s="58" t="e">
        <f t="shared" si="2"/>
        <v>#REF!</v>
      </c>
    </row>
    <row r="14" spans="1:10" x14ac:dyDescent="0.15">
      <c r="A14" s="57" t="s">
        <v>1561</v>
      </c>
      <c r="B14" s="58"/>
      <c r="C14" s="228" t="e">
        <f>SUM(#REF!)</f>
        <v>#REF!</v>
      </c>
      <c r="D14" s="228" t="e">
        <f>SUM(#REF!)</f>
        <v>#REF!</v>
      </c>
      <c r="E14" s="175" t="e">
        <f t="shared" si="0"/>
        <v>#REF!</v>
      </c>
      <c r="H14" s="206" t="e">
        <f t="shared" si="1"/>
        <v>#REF!</v>
      </c>
      <c r="J14" s="58" t="e">
        <f t="shared" si="2"/>
        <v>#REF!</v>
      </c>
    </row>
    <row r="15" spans="1:10" x14ac:dyDescent="0.15">
      <c r="A15" s="57" t="s">
        <v>1562</v>
      </c>
      <c r="B15" s="58"/>
      <c r="C15" s="228" t="e">
        <f>SUM(#REF!)</f>
        <v>#REF!</v>
      </c>
      <c r="D15" s="228" t="e">
        <f>SUM(#REF!)</f>
        <v>#REF!</v>
      </c>
      <c r="E15" s="175" t="e">
        <f t="shared" si="0"/>
        <v>#REF!</v>
      </c>
      <c r="H15" s="206" t="e">
        <f t="shared" si="1"/>
        <v>#REF!</v>
      </c>
      <c r="J15" s="58" t="e">
        <f t="shared" si="2"/>
        <v>#REF!</v>
      </c>
    </row>
    <row r="16" spans="1:10" x14ac:dyDescent="0.15">
      <c r="A16" s="57" t="s">
        <v>1563</v>
      </c>
      <c r="B16" s="58"/>
      <c r="C16" s="228" t="e">
        <f>SUM(#REF!)</f>
        <v>#REF!</v>
      </c>
      <c r="D16" s="228" t="e">
        <f>SUM(#REF!)</f>
        <v>#REF!</v>
      </c>
      <c r="E16" s="175" t="e">
        <f t="shared" si="0"/>
        <v>#REF!</v>
      </c>
      <c r="H16" s="206" t="e">
        <f t="shared" si="1"/>
        <v>#REF!</v>
      </c>
      <c r="J16" s="58" t="e">
        <f t="shared" si="2"/>
        <v>#REF!</v>
      </c>
    </row>
    <row r="17" spans="1:10" x14ac:dyDescent="0.15">
      <c r="A17" s="57" t="s">
        <v>1668</v>
      </c>
      <c r="B17" s="58"/>
      <c r="C17" s="228" t="e">
        <f>SUM(#REF!)+SUM(#REF!)+SUM(#REF!)+#REF!</f>
        <v>#REF!</v>
      </c>
      <c r="D17" s="228" t="e">
        <f>SUM(#REF!)+SUM(#REF!)+SUM(#REF!)+#REF!</f>
        <v>#REF!</v>
      </c>
      <c r="E17" s="175" t="e">
        <f t="shared" si="0"/>
        <v>#REF!</v>
      </c>
      <c r="H17" s="206" t="e">
        <f t="shared" si="1"/>
        <v>#REF!</v>
      </c>
      <c r="J17" s="58" t="e">
        <f t="shared" si="2"/>
        <v>#REF!</v>
      </c>
    </row>
    <row r="18" spans="1:10" x14ac:dyDescent="0.15">
      <c r="A18" s="57" t="s">
        <v>133</v>
      </c>
      <c r="B18" s="58"/>
      <c r="C18" s="228" t="e">
        <f>SUM(#REF!)</f>
        <v>#REF!</v>
      </c>
      <c r="D18" s="228" t="e">
        <f>SUM(#REF!)</f>
        <v>#REF!</v>
      </c>
      <c r="E18" s="175" t="e">
        <f t="shared" si="0"/>
        <v>#REF!</v>
      </c>
      <c r="H18" s="206" t="e">
        <f t="shared" si="1"/>
        <v>#REF!</v>
      </c>
      <c r="J18" s="58" t="e">
        <f t="shared" si="2"/>
        <v>#REF!</v>
      </c>
    </row>
    <row r="19" spans="1:10" x14ac:dyDescent="0.15">
      <c r="A19" s="57" t="s">
        <v>1564</v>
      </c>
      <c r="B19" s="58"/>
      <c r="C19" s="228" t="e">
        <f>SUM(#REF!)+SUM(#REF!)</f>
        <v>#REF!</v>
      </c>
      <c r="D19" s="228" t="e">
        <f>SUM(#REF!)+SUM(#REF!)</f>
        <v>#REF!</v>
      </c>
      <c r="E19" s="175" t="e">
        <f t="shared" si="0"/>
        <v>#REF!</v>
      </c>
      <c r="H19" s="206" t="e">
        <f t="shared" si="1"/>
        <v>#REF!</v>
      </c>
      <c r="J19" s="58" t="e">
        <f t="shared" si="2"/>
        <v>#REF!</v>
      </c>
    </row>
    <row r="20" spans="1:10" x14ac:dyDescent="0.15">
      <c r="A20" s="57" t="s">
        <v>1565</v>
      </c>
      <c r="B20" s="58"/>
      <c r="C20" s="228" t="e">
        <f>SUM(#REF!)+SUM(#REF!)+#REF!+#REF!+#REF!</f>
        <v>#REF!</v>
      </c>
      <c r="D20" s="228" t="e">
        <f>SUM(#REF!)+SUM(#REF!)+#REF!+#REF!+#REF!</f>
        <v>#REF!</v>
      </c>
      <c r="E20" s="175" t="e">
        <f t="shared" si="0"/>
        <v>#REF!</v>
      </c>
      <c r="H20" s="206" t="e">
        <f t="shared" si="1"/>
        <v>#REF!</v>
      </c>
      <c r="J20" s="58" t="e">
        <f t="shared" si="2"/>
        <v>#REF!</v>
      </c>
    </row>
    <row r="21" spans="1:10" x14ac:dyDescent="0.15">
      <c r="A21" s="57" t="s">
        <v>804</v>
      </c>
      <c r="B21" s="58"/>
      <c r="C21" s="228" t="e">
        <f>SUM(#REF!)</f>
        <v>#REF!</v>
      </c>
      <c r="D21" s="228" t="e">
        <f>SUM(#REF!)</f>
        <v>#REF!</v>
      </c>
      <c r="E21" s="175" t="e">
        <f t="shared" si="0"/>
        <v>#REF!</v>
      </c>
      <c r="H21" s="206" t="e">
        <f t="shared" si="1"/>
        <v>#REF!</v>
      </c>
      <c r="J21" s="58" t="e">
        <f t="shared" si="2"/>
        <v>#REF!</v>
      </c>
    </row>
    <row r="22" spans="1:10" x14ac:dyDescent="0.15">
      <c r="A22" s="57" t="s">
        <v>1667</v>
      </c>
      <c r="B22" s="58"/>
      <c r="C22" s="228" t="e">
        <f>SUM(#REF!)+SUM(#REF!)</f>
        <v>#REF!</v>
      </c>
      <c r="D22" s="228" t="e">
        <f>SUM(#REF!)+SUM(#REF!)</f>
        <v>#REF!</v>
      </c>
      <c r="E22" s="175" t="e">
        <f t="shared" si="0"/>
        <v>#REF!</v>
      </c>
      <c r="H22" s="206" t="e">
        <f t="shared" si="1"/>
        <v>#REF!</v>
      </c>
      <c r="J22" s="58" t="e">
        <f t="shared" si="2"/>
        <v>#REF!</v>
      </c>
    </row>
    <row r="23" spans="1:10" x14ac:dyDescent="0.15">
      <c r="A23" s="57" t="s">
        <v>1567</v>
      </c>
      <c r="B23" s="58"/>
      <c r="C23" s="228" t="e">
        <f>SUM(#REF!)</f>
        <v>#REF!</v>
      </c>
      <c r="D23" s="228" t="e">
        <f>SUM(#REF!)</f>
        <v>#REF!</v>
      </c>
      <c r="E23" s="175" t="e">
        <f t="shared" si="0"/>
        <v>#REF!</v>
      </c>
      <c r="H23" s="206" t="e">
        <f t="shared" si="1"/>
        <v>#REF!</v>
      </c>
      <c r="J23" s="58" t="e">
        <f t="shared" si="2"/>
        <v>#REF!</v>
      </c>
    </row>
    <row r="24" spans="1:10" x14ac:dyDescent="0.15">
      <c r="A24" s="57" t="s">
        <v>1568</v>
      </c>
      <c r="B24" s="58"/>
      <c r="C24" s="228" t="e">
        <f>SUM(#REF!)</f>
        <v>#REF!</v>
      </c>
      <c r="D24" s="228" t="e">
        <f>SUM(#REF!)</f>
        <v>#REF!</v>
      </c>
      <c r="E24" s="175" t="e">
        <f t="shared" si="0"/>
        <v>#REF!</v>
      </c>
      <c r="H24" s="206" t="e">
        <f t="shared" si="1"/>
        <v>#REF!</v>
      </c>
      <c r="J24" s="58" t="e">
        <f t="shared" si="2"/>
        <v>#REF!</v>
      </c>
    </row>
    <row r="25" spans="1:10" x14ac:dyDescent="0.15">
      <c r="A25" s="57" t="s">
        <v>1579</v>
      </c>
      <c r="B25" s="58"/>
      <c r="C25" s="228" t="e">
        <f>#REF!+#REF!+#REF!+#REF!+#REF!+#REF!+#REF!+#REF!+#REF!+#REF!</f>
        <v>#REF!</v>
      </c>
      <c r="D25" s="228" t="e">
        <f>#REF!+#REF!+#REF!+#REF!+#REF!+#REF!+#REF!+#REF!+#REF!+#REF!</f>
        <v>#REF!</v>
      </c>
      <c r="E25" s="175" t="e">
        <f t="shared" si="0"/>
        <v>#REF!</v>
      </c>
      <c r="H25" s="206" t="e">
        <f t="shared" si="1"/>
        <v>#REF!</v>
      </c>
      <c r="J25" s="58" t="e">
        <f t="shared" si="2"/>
        <v>#REF!</v>
      </c>
    </row>
    <row r="26" spans="1:10" x14ac:dyDescent="0.15">
      <c r="A26" s="57" t="s">
        <v>1569</v>
      </c>
      <c r="B26" s="58"/>
      <c r="C26" s="228" t="e">
        <f>SUM(#REF!)</f>
        <v>#REF!</v>
      </c>
      <c r="D26" s="228" t="e">
        <f>SUM(#REF!)</f>
        <v>#REF!</v>
      </c>
      <c r="E26" s="175" t="e">
        <f t="shared" si="0"/>
        <v>#REF!</v>
      </c>
      <c r="H26" s="206" t="e">
        <f t="shared" si="1"/>
        <v>#REF!</v>
      </c>
      <c r="J26" s="58" t="e">
        <f t="shared" si="2"/>
        <v>#REF!</v>
      </c>
    </row>
    <row r="27" spans="1:10" x14ac:dyDescent="0.15">
      <c r="A27" s="57" t="s">
        <v>1124</v>
      </c>
      <c r="B27" s="58"/>
      <c r="C27" s="228" t="e">
        <f>SUM(#REF!)</f>
        <v>#REF!</v>
      </c>
      <c r="D27" s="228" t="e">
        <f>SUM(#REF!)</f>
        <v>#REF!</v>
      </c>
      <c r="E27" s="175" t="e">
        <f t="shared" si="0"/>
        <v>#REF!</v>
      </c>
      <c r="H27" s="206" t="e">
        <f t="shared" si="1"/>
        <v>#REF!</v>
      </c>
      <c r="J27" s="58" t="e">
        <f t="shared" si="2"/>
        <v>#REF!</v>
      </c>
    </row>
    <row r="28" spans="1:10" x14ac:dyDescent="0.15">
      <c r="A28" s="57" t="s">
        <v>1570</v>
      </c>
      <c r="B28" s="58"/>
      <c r="C28" s="228" t="e">
        <f>SUM(#REF!)</f>
        <v>#REF!</v>
      </c>
      <c r="D28" s="228" t="e">
        <f>SUM(#REF!)</f>
        <v>#REF!</v>
      </c>
      <c r="E28" s="175" t="e">
        <f t="shared" si="0"/>
        <v>#REF!</v>
      </c>
      <c r="H28" s="206" t="e">
        <f t="shared" si="1"/>
        <v>#REF!</v>
      </c>
      <c r="J28" s="58" t="e">
        <f t="shared" si="2"/>
        <v>#REF!</v>
      </c>
    </row>
    <row r="29" spans="1:10" x14ac:dyDescent="0.15">
      <c r="A29" s="57" t="s">
        <v>1571</v>
      </c>
      <c r="B29" s="58"/>
      <c r="C29" s="228" t="e">
        <f>SUM(#REF!)</f>
        <v>#REF!</v>
      </c>
      <c r="D29" s="228" t="e">
        <f>SUM(#REF!)</f>
        <v>#REF!</v>
      </c>
      <c r="E29" s="175" t="e">
        <f t="shared" si="0"/>
        <v>#REF!</v>
      </c>
      <c r="H29" s="206" t="e">
        <f t="shared" si="1"/>
        <v>#REF!</v>
      </c>
      <c r="J29" s="58" t="e">
        <f t="shared" si="2"/>
        <v>#REF!</v>
      </c>
    </row>
    <row r="30" spans="1:10" x14ac:dyDescent="0.15">
      <c r="A30" s="57" t="s">
        <v>1572</v>
      </c>
      <c r="B30" s="58"/>
      <c r="C30" s="228" t="e">
        <f>SUM(#REF!)+#REF!+#REF!+#REF!+#REF!+#REF!+#REF!+#REF!+#REF!</f>
        <v>#REF!</v>
      </c>
      <c r="D30" s="228" t="e">
        <f>SUM(#REF!)+#REF!+#REF!+#REF!+#REF!+#REF!+#REF!+#REF!+#REF!</f>
        <v>#REF!</v>
      </c>
      <c r="E30" s="175" t="e">
        <f t="shared" si="0"/>
        <v>#REF!</v>
      </c>
      <c r="H30" s="206" t="e">
        <f t="shared" si="1"/>
        <v>#REF!</v>
      </c>
      <c r="J30" s="58" t="e">
        <f t="shared" si="2"/>
        <v>#REF!</v>
      </c>
    </row>
    <row r="31" spans="1:10" x14ac:dyDescent="0.15">
      <c r="A31" s="57" t="s">
        <v>1573</v>
      </c>
      <c r="B31" s="58"/>
      <c r="C31" s="228" t="e">
        <f>SUM(#REF!)</f>
        <v>#REF!</v>
      </c>
      <c r="D31" s="228" t="e">
        <f>SUM(#REF!)</f>
        <v>#REF!</v>
      </c>
      <c r="E31" s="175" t="e">
        <f t="shared" si="0"/>
        <v>#REF!</v>
      </c>
      <c r="H31" s="206" t="e">
        <f t="shared" si="1"/>
        <v>#REF!</v>
      </c>
      <c r="J31" s="58" t="e">
        <f t="shared" si="2"/>
        <v>#REF!</v>
      </c>
    </row>
    <row r="32" spans="1:10" x14ac:dyDescent="0.15">
      <c r="A32" s="57" t="s">
        <v>1320</v>
      </c>
      <c r="B32" s="58"/>
      <c r="C32" s="228" t="e">
        <f>SUM(#REF!)</f>
        <v>#REF!</v>
      </c>
      <c r="D32" s="228" t="e">
        <f>SUM(#REF!)</f>
        <v>#REF!</v>
      </c>
      <c r="E32" s="175" t="e">
        <f t="shared" si="0"/>
        <v>#REF!</v>
      </c>
      <c r="H32" s="206" t="e">
        <f t="shared" si="1"/>
        <v>#REF!</v>
      </c>
      <c r="J32" s="58" t="e">
        <f t="shared" si="2"/>
        <v>#REF!</v>
      </c>
    </row>
    <row r="33" spans="1:10" x14ac:dyDescent="0.15">
      <c r="A33" s="57" t="s">
        <v>1574</v>
      </c>
      <c r="B33" s="58"/>
      <c r="C33" s="228" t="e">
        <f>SUM(#REF!)+SUM(#REF!)</f>
        <v>#REF!</v>
      </c>
      <c r="D33" s="228" t="e">
        <f>SUM(#REF!)+SUM(#REF!)</f>
        <v>#REF!</v>
      </c>
      <c r="E33" s="175" t="e">
        <f t="shared" si="0"/>
        <v>#REF!</v>
      </c>
      <c r="H33" s="206" t="e">
        <f t="shared" si="1"/>
        <v>#REF!</v>
      </c>
      <c r="J33" s="58" t="e">
        <f t="shared" si="2"/>
        <v>#REF!</v>
      </c>
    </row>
    <row r="34" spans="1:10" x14ac:dyDescent="0.15">
      <c r="A34" s="57" t="s">
        <v>1575</v>
      </c>
      <c r="B34" s="58"/>
      <c r="C34" s="228" t="e">
        <f>SUM(#REF!)</f>
        <v>#REF!</v>
      </c>
      <c r="D34" s="228" t="e">
        <f>SUM(#REF!)</f>
        <v>#REF!</v>
      </c>
      <c r="E34" s="175" t="e">
        <f t="shared" si="0"/>
        <v>#REF!</v>
      </c>
      <c r="H34" s="206" t="e">
        <f t="shared" si="1"/>
        <v>#REF!</v>
      </c>
      <c r="J34" s="58" t="e">
        <f t="shared" si="2"/>
        <v>#REF!</v>
      </c>
    </row>
    <row r="35" spans="1:10" x14ac:dyDescent="0.15">
      <c r="A35" s="57" t="s">
        <v>1576</v>
      </c>
      <c r="B35" s="58"/>
      <c r="C35" s="229" t="e">
        <f>#REF!</f>
        <v>#REF!</v>
      </c>
      <c r="D35" s="229" t="e">
        <f>#REF!</f>
        <v>#REF!</v>
      </c>
      <c r="E35" s="201" t="e">
        <f t="shared" si="0"/>
        <v>#REF!</v>
      </c>
      <c r="H35" s="206" t="e">
        <f t="shared" si="1"/>
        <v>#REF!</v>
      </c>
      <c r="J35" s="151" t="e">
        <f t="shared" si="2"/>
        <v>#REF!</v>
      </c>
    </row>
    <row r="36" spans="1:10" x14ac:dyDescent="0.15">
      <c r="B36" s="58"/>
      <c r="C36" s="58" t="e">
        <f>SUM(C5:C35)</f>
        <v>#REF!</v>
      </c>
      <c r="D36" s="58" t="e">
        <f>SUM(D5:D35)</f>
        <v>#REF!</v>
      </c>
      <c r="E36" s="58" t="e">
        <f>SUM(E5:E35)</f>
        <v>#REF!</v>
      </c>
      <c r="J36" s="175" t="e">
        <f>SUM(J5:J35)</f>
        <v>#REF!</v>
      </c>
    </row>
    <row r="38" spans="1:10" x14ac:dyDescent="0.15">
      <c r="B38" s="204" t="s">
        <v>1581</v>
      </c>
      <c r="C38" s="58" t="e">
        <f>#REF!</f>
        <v>#REF!</v>
      </c>
      <c r="D38" s="58" t="e">
        <f>#REF!</f>
        <v>#REF!</v>
      </c>
    </row>
    <row r="39" spans="1:10" x14ac:dyDescent="0.15">
      <c r="C39" s="58" t="e">
        <f>C36-C38</f>
        <v>#REF!</v>
      </c>
      <c r="D39" s="58" t="e">
        <f>D36-D38</f>
        <v>#REF!</v>
      </c>
    </row>
    <row r="40" spans="1:10" x14ac:dyDescent="0.15">
      <c r="C40" s="58"/>
      <c r="D40" s="58"/>
    </row>
    <row r="41" spans="1:10" x14ac:dyDescent="0.15">
      <c r="C41" s="58"/>
      <c r="D41" s="58"/>
    </row>
    <row r="42" spans="1:10" x14ac:dyDescent="0.15">
      <c r="C42" s="58"/>
      <c r="D42" s="58"/>
    </row>
  </sheetData>
  <pageMargins left="0.7" right="0.7" top="0.75" bottom="0.75" header="0.3" footer="0.3"/>
  <pageSetup paperSize="9" scale="76"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1335"/>
  <sheetViews>
    <sheetView rightToLeft="1" workbookViewId="0">
      <pane ySplit="1" topLeftCell="A1321" activePane="bottomLeft" state="frozen"/>
      <selection pane="bottomLeft" activeCell="C1341" sqref="C1341"/>
    </sheetView>
  </sheetViews>
  <sheetFormatPr baseColWidth="10" defaultColWidth="9.1640625" defaultRowHeight="15" x14ac:dyDescent="0.2"/>
  <cols>
    <col min="1" max="1" width="12.5" style="313" bestFit="1" customWidth="1"/>
    <col min="2" max="2" width="42.5" style="313" bestFit="1" customWidth="1"/>
    <col min="3" max="3" width="16.83203125" style="314" bestFit="1" customWidth="1"/>
    <col min="4" max="5" width="13.5" style="313" bestFit="1" customWidth="1"/>
    <col min="6" max="6" width="18.5" style="313" bestFit="1" customWidth="1"/>
    <col min="7" max="8" width="13.5" style="313" bestFit="1" customWidth="1"/>
    <col min="9" max="16384" width="9.1640625" style="313"/>
  </cols>
  <sheetData>
    <row r="1" spans="1:8" x14ac:dyDescent="0.2">
      <c r="A1" s="313" t="s">
        <v>266</v>
      </c>
      <c r="B1" s="313" t="s">
        <v>267</v>
      </c>
      <c r="C1" s="314" t="s">
        <v>2053</v>
      </c>
      <c r="D1" s="313" t="s">
        <v>2054</v>
      </c>
      <c r="E1" s="313" t="s">
        <v>1278</v>
      </c>
      <c r="F1" s="313" t="s">
        <v>2055</v>
      </c>
      <c r="G1" s="313" t="s">
        <v>1585</v>
      </c>
      <c r="H1" s="313" t="s">
        <v>1543</v>
      </c>
    </row>
    <row r="2" spans="1:8" x14ac:dyDescent="0.2">
      <c r="A2" s="313" t="s">
        <v>268</v>
      </c>
      <c r="B2" s="313" t="s">
        <v>269</v>
      </c>
    </row>
    <row r="3" spans="1:8" x14ac:dyDescent="0.2">
      <c r="A3" s="313" t="s">
        <v>270</v>
      </c>
      <c r="B3" s="313" t="s">
        <v>271</v>
      </c>
    </row>
    <row r="4" spans="1:8" x14ac:dyDescent="0.2">
      <c r="A4" s="313" t="s">
        <v>272</v>
      </c>
      <c r="B4" s="313" t="s">
        <v>273</v>
      </c>
    </row>
    <row r="5" spans="1:8" x14ac:dyDescent="0.2">
      <c r="A5" s="313">
        <v>1111100100</v>
      </c>
      <c r="B5" s="313" t="s">
        <v>273</v>
      </c>
      <c r="C5" s="314">
        <v>115068520</v>
      </c>
      <c r="D5" s="313">
        <v>115068520</v>
      </c>
      <c r="E5" s="313">
        <v>97636038.730000004</v>
      </c>
      <c r="F5" s="313">
        <v>-17432481.27</v>
      </c>
      <c r="G5" s="313">
        <v>112032481.06999999</v>
      </c>
      <c r="H5" s="313">
        <v>104219722.09</v>
      </c>
    </row>
    <row r="6" spans="1:8" x14ac:dyDescent="0.2">
      <c r="A6" s="313">
        <v>1111200100</v>
      </c>
      <c r="B6" s="313" t="s">
        <v>274</v>
      </c>
      <c r="C6" s="314">
        <v>10649000</v>
      </c>
      <c r="D6" s="313">
        <v>10649000</v>
      </c>
      <c r="E6" s="313">
        <v>9212350.8499999996</v>
      </c>
      <c r="F6" s="313">
        <v>-1436649.15</v>
      </c>
      <c r="G6" s="313">
        <v>11201912.050000001</v>
      </c>
      <c r="H6" s="313">
        <v>9580731.7799999993</v>
      </c>
    </row>
    <row r="7" spans="1:8" x14ac:dyDescent="0.2">
      <c r="A7" s="313" t="s">
        <v>277</v>
      </c>
      <c r="B7" s="313" t="s">
        <v>273</v>
      </c>
      <c r="C7" s="314">
        <v>125717520</v>
      </c>
      <c r="D7" s="313">
        <v>125717520</v>
      </c>
      <c r="E7" s="313">
        <v>106848389.58</v>
      </c>
      <c r="F7" s="313">
        <v>-18869130.420000002</v>
      </c>
      <c r="G7" s="313">
        <v>123234393.12</v>
      </c>
      <c r="H7" s="313">
        <v>113800453.87</v>
      </c>
    </row>
    <row r="8" spans="1:8" x14ac:dyDescent="0.2">
      <c r="A8" s="313" t="s">
        <v>278</v>
      </c>
      <c r="B8" s="313" t="s">
        <v>279</v>
      </c>
    </row>
    <row r="9" spans="1:8" x14ac:dyDescent="0.2">
      <c r="A9" s="313">
        <v>1413100212</v>
      </c>
      <c r="B9" s="313" t="s">
        <v>280</v>
      </c>
      <c r="C9" s="314">
        <v>420000</v>
      </c>
      <c r="D9" s="313">
        <v>420000</v>
      </c>
      <c r="E9" s="313">
        <v>388537</v>
      </c>
      <c r="F9" s="313">
        <v>-31463</v>
      </c>
      <c r="G9" s="313">
        <v>496875.95</v>
      </c>
      <c r="H9" s="313">
        <v>477743.19</v>
      </c>
    </row>
    <row r="10" spans="1:8" x14ac:dyDescent="0.2">
      <c r="A10" s="313">
        <v>1413100216</v>
      </c>
      <c r="B10" s="313" t="s">
        <v>1444</v>
      </c>
      <c r="C10" s="314">
        <v>2000</v>
      </c>
      <c r="D10" s="313">
        <v>2000</v>
      </c>
      <c r="E10" s="313">
        <v>1056.8</v>
      </c>
      <c r="F10" s="313">
        <v>-943.2</v>
      </c>
      <c r="G10" s="313">
        <v>2402.9</v>
      </c>
      <c r="H10" s="313">
        <v>1884.1</v>
      </c>
    </row>
    <row r="11" spans="1:8" x14ac:dyDescent="0.2">
      <c r="A11" s="313">
        <v>1413100217</v>
      </c>
      <c r="B11" s="313" t="s">
        <v>1445</v>
      </c>
      <c r="C11" s="314">
        <v>2600</v>
      </c>
      <c r="D11" s="313">
        <v>2600</v>
      </c>
      <c r="E11" s="313">
        <v>6424.2</v>
      </c>
      <c r="F11" s="313">
        <v>3824.2</v>
      </c>
      <c r="G11" s="313">
        <v>2342.3000000000002</v>
      </c>
      <c r="H11" s="313">
        <v>1253.33</v>
      </c>
    </row>
    <row r="12" spans="1:8" x14ac:dyDescent="0.2">
      <c r="A12" s="313" t="s">
        <v>277</v>
      </c>
      <c r="B12" s="313" t="s">
        <v>279</v>
      </c>
      <c r="C12" s="314">
        <v>424600</v>
      </c>
      <c r="D12" s="313">
        <v>424600</v>
      </c>
      <c r="E12" s="313">
        <v>396018</v>
      </c>
      <c r="F12" s="313">
        <v>-28582</v>
      </c>
      <c r="G12" s="313">
        <v>501621.15</v>
      </c>
      <c r="H12" s="313">
        <v>480880.62</v>
      </c>
    </row>
    <row r="13" spans="1:8" x14ac:dyDescent="0.2">
      <c r="A13" s="313" t="s">
        <v>281</v>
      </c>
      <c r="B13" s="313" t="s">
        <v>1446</v>
      </c>
    </row>
    <row r="14" spans="1:8" x14ac:dyDescent="0.2">
      <c r="A14" s="313" t="s">
        <v>282</v>
      </c>
      <c r="B14" s="313" t="s">
        <v>283</v>
      </c>
    </row>
    <row r="15" spans="1:8" x14ac:dyDescent="0.2">
      <c r="A15" s="313">
        <v>1311000690</v>
      </c>
      <c r="B15" s="313" t="s">
        <v>1184</v>
      </c>
      <c r="H15" s="313">
        <v>25570</v>
      </c>
    </row>
    <row r="16" spans="1:8" x14ac:dyDescent="0.2">
      <c r="A16" s="313">
        <v>1312200420</v>
      </c>
      <c r="B16" s="313" t="s">
        <v>2049</v>
      </c>
      <c r="E16" s="313">
        <v>27398.9</v>
      </c>
      <c r="F16" s="313">
        <v>27398.9</v>
      </c>
    </row>
    <row r="17" spans="1:8" x14ac:dyDescent="0.2">
      <c r="A17" s="313">
        <v>1312200440</v>
      </c>
      <c r="B17" s="313" t="s">
        <v>284</v>
      </c>
      <c r="C17" s="314">
        <v>10000</v>
      </c>
      <c r="D17" s="313">
        <v>10000</v>
      </c>
      <c r="E17" s="313">
        <v>14730</v>
      </c>
      <c r="F17" s="313">
        <v>4730</v>
      </c>
      <c r="G17" s="313">
        <v>9739</v>
      </c>
    </row>
    <row r="18" spans="1:8" x14ac:dyDescent="0.2">
      <c r="A18" s="313">
        <v>1312200790</v>
      </c>
      <c r="B18" s="313" t="s">
        <v>1387</v>
      </c>
      <c r="C18" s="314">
        <v>129114</v>
      </c>
      <c r="D18" s="313">
        <v>129114</v>
      </c>
      <c r="E18" s="313">
        <v>121791</v>
      </c>
      <c r="F18" s="313">
        <v>-7323</v>
      </c>
      <c r="G18" s="313">
        <v>170588</v>
      </c>
      <c r="H18" s="313">
        <v>195832</v>
      </c>
    </row>
    <row r="19" spans="1:8" x14ac:dyDescent="0.2">
      <c r="A19" s="313">
        <v>1312210420</v>
      </c>
      <c r="B19" s="313" t="s">
        <v>2056</v>
      </c>
      <c r="E19" s="313">
        <v>43931.199999999997</v>
      </c>
      <c r="F19" s="313">
        <v>43931.199999999997</v>
      </c>
    </row>
    <row r="20" spans="1:8" x14ac:dyDescent="0.2">
      <c r="A20" s="313">
        <v>1312500440</v>
      </c>
      <c r="B20" s="313" t="s">
        <v>286</v>
      </c>
      <c r="C20" s="314">
        <v>1969169</v>
      </c>
      <c r="D20" s="313">
        <v>1969169</v>
      </c>
      <c r="E20" s="313">
        <v>1595743.8</v>
      </c>
      <c r="F20" s="313">
        <v>-373425.2</v>
      </c>
      <c r="G20" s="313">
        <v>2225134.7999999998</v>
      </c>
      <c r="H20" s="313">
        <v>1757222.25</v>
      </c>
    </row>
    <row r="21" spans="1:8" x14ac:dyDescent="0.2">
      <c r="A21" s="313">
        <v>1312501440</v>
      </c>
      <c r="B21" s="313" t="s">
        <v>287</v>
      </c>
      <c r="C21" s="314">
        <v>607790</v>
      </c>
      <c r="D21" s="313">
        <v>607790</v>
      </c>
      <c r="E21" s="313">
        <v>1504093.1</v>
      </c>
      <c r="F21" s="313">
        <v>896303.1</v>
      </c>
      <c r="G21" s="313">
        <v>669942.1</v>
      </c>
      <c r="H21" s="313">
        <v>484098.6</v>
      </c>
    </row>
    <row r="22" spans="1:8" x14ac:dyDescent="0.2">
      <c r="A22" s="313">
        <v>1313200410</v>
      </c>
      <c r="B22" s="313" t="s">
        <v>1390</v>
      </c>
      <c r="C22" s="314">
        <v>25000</v>
      </c>
      <c r="D22" s="313">
        <v>25000</v>
      </c>
      <c r="E22" s="313">
        <v>167532</v>
      </c>
      <c r="F22" s="313">
        <v>142532</v>
      </c>
      <c r="G22" s="313">
        <v>60520</v>
      </c>
      <c r="H22" s="313">
        <v>14600</v>
      </c>
    </row>
    <row r="23" spans="1:8" x14ac:dyDescent="0.2">
      <c r="A23" s="313">
        <v>1313317410</v>
      </c>
      <c r="B23" s="313" t="s">
        <v>289</v>
      </c>
      <c r="C23" s="314">
        <v>1125000</v>
      </c>
      <c r="D23" s="313">
        <v>1125000</v>
      </c>
      <c r="E23" s="313">
        <v>693314.15</v>
      </c>
      <c r="F23" s="313">
        <v>-431685.85</v>
      </c>
      <c r="G23" s="313">
        <v>727628</v>
      </c>
      <c r="H23" s="313">
        <v>1090662.1200000001</v>
      </c>
    </row>
    <row r="24" spans="1:8" x14ac:dyDescent="0.2">
      <c r="A24" s="313">
        <v>1315700700</v>
      </c>
      <c r="B24" s="313" t="s">
        <v>290</v>
      </c>
      <c r="C24" s="314">
        <v>14200000</v>
      </c>
      <c r="D24" s="313">
        <v>14200000</v>
      </c>
      <c r="E24" s="313">
        <v>14200002</v>
      </c>
      <c r="F24" s="313">
        <v>2</v>
      </c>
      <c r="G24" s="313">
        <v>14200000</v>
      </c>
      <c r="H24" s="313">
        <v>14200000</v>
      </c>
    </row>
    <row r="25" spans="1:8" x14ac:dyDescent="0.2">
      <c r="A25" s="313">
        <v>1315777700</v>
      </c>
      <c r="B25" s="313" t="s">
        <v>291</v>
      </c>
      <c r="C25" s="314">
        <v>16000000</v>
      </c>
      <c r="D25" s="313">
        <v>16000000</v>
      </c>
      <c r="E25" s="313">
        <v>16000000</v>
      </c>
      <c r="G25" s="313">
        <v>15999997</v>
      </c>
      <c r="H25" s="313">
        <v>15999997</v>
      </c>
    </row>
    <row r="26" spans="1:8" x14ac:dyDescent="0.2">
      <c r="A26" s="313">
        <v>1315788700</v>
      </c>
      <c r="B26" s="313" t="s">
        <v>292</v>
      </c>
      <c r="C26" s="314">
        <v>7000000</v>
      </c>
      <c r="D26" s="313">
        <v>7000000</v>
      </c>
      <c r="E26" s="313">
        <v>7000000</v>
      </c>
      <c r="G26" s="313">
        <v>7000000</v>
      </c>
      <c r="H26" s="313">
        <v>7000000</v>
      </c>
    </row>
    <row r="27" spans="1:8" x14ac:dyDescent="0.2">
      <c r="A27" s="313">
        <v>1317500410</v>
      </c>
      <c r="B27" s="313" t="s">
        <v>293</v>
      </c>
      <c r="C27" s="314">
        <v>350000</v>
      </c>
      <c r="D27" s="313">
        <v>350000</v>
      </c>
      <c r="E27" s="313">
        <v>162731.1</v>
      </c>
      <c r="F27" s="313">
        <v>-187268.9</v>
      </c>
      <c r="G27" s="313">
        <v>246230</v>
      </c>
      <c r="H27" s="313">
        <v>361988</v>
      </c>
    </row>
    <row r="28" spans="1:8" x14ac:dyDescent="0.2">
      <c r="A28" s="313">
        <v>1317800440</v>
      </c>
      <c r="B28" s="313" t="s">
        <v>1364</v>
      </c>
      <c r="H28" s="313">
        <v>3200</v>
      </c>
    </row>
    <row r="29" spans="1:8" x14ac:dyDescent="0.2">
      <c r="A29" s="313">
        <v>1317900790</v>
      </c>
      <c r="B29" s="313" t="s">
        <v>1155</v>
      </c>
      <c r="C29" s="314">
        <v>36667</v>
      </c>
      <c r="D29" s="313">
        <v>36667</v>
      </c>
      <c r="E29" s="313">
        <v>40000</v>
      </c>
      <c r="F29" s="313">
        <v>3333</v>
      </c>
      <c r="G29" s="313">
        <v>22581</v>
      </c>
      <c r="H29" s="313">
        <v>40000</v>
      </c>
    </row>
    <row r="30" spans="1:8" x14ac:dyDescent="0.2">
      <c r="A30" s="313">
        <v>1317950790</v>
      </c>
      <c r="B30" s="313" t="s">
        <v>294</v>
      </c>
      <c r="C30" s="314">
        <v>513900</v>
      </c>
      <c r="D30" s="313">
        <v>513900</v>
      </c>
      <c r="E30" s="313">
        <v>293947</v>
      </c>
      <c r="F30" s="313">
        <v>-219953</v>
      </c>
      <c r="G30" s="313">
        <v>584314</v>
      </c>
      <c r="H30" s="313">
        <v>389063</v>
      </c>
    </row>
    <row r="31" spans="1:8" x14ac:dyDescent="0.2">
      <c r="A31" s="313" t="s">
        <v>277</v>
      </c>
      <c r="B31" s="313" t="s">
        <v>283</v>
      </c>
      <c r="C31" s="314">
        <v>41966640</v>
      </c>
      <c r="D31" s="313">
        <v>41966640</v>
      </c>
      <c r="E31" s="313">
        <v>41865214.25</v>
      </c>
      <c r="F31" s="313">
        <v>-101425.75</v>
      </c>
      <c r="G31" s="313">
        <v>41916673.899999999</v>
      </c>
      <c r="H31" s="313">
        <v>41562232.969999999</v>
      </c>
    </row>
    <row r="32" spans="1:8" x14ac:dyDescent="0.2">
      <c r="A32" s="313" t="s">
        <v>295</v>
      </c>
      <c r="B32" s="313" t="s">
        <v>296</v>
      </c>
    </row>
    <row r="33" spans="1:8" x14ac:dyDescent="0.2">
      <c r="A33" s="313">
        <v>1342400420</v>
      </c>
      <c r="B33" s="313" t="s">
        <v>1407</v>
      </c>
      <c r="E33" s="313">
        <v>647</v>
      </c>
      <c r="F33" s="313">
        <v>647</v>
      </c>
      <c r="G33" s="313">
        <v>400</v>
      </c>
    </row>
    <row r="34" spans="1:8" x14ac:dyDescent="0.2">
      <c r="A34" s="313">
        <v>1343500420</v>
      </c>
      <c r="B34" s="313" t="s">
        <v>1191</v>
      </c>
      <c r="C34" s="314">
        <v>2000</v>
      </c>
      <c r="D34" s="313">
        <v>2000</v>
      </c>
      <c r="E34" s="313">
        <v>1606</v>
      </c>
      <c r="F34" s="313">
        <v>-394</v>
      </c>
      <c r="G34" s="313">
        <v>1525</v>
      </c>
      <c r="H34" s="313">
        <v>2459</v>
      </c>
    </row>
    <row r="35" spans="1:8" x14ac:dyDescent="0.2">
      <c r="A35" s="313">
        <v>1343523410</v>
      </c>
      <c r="B35" s="313" t="s">
        <v>298</v>
      </c>
      <c r="C35" s="314">
        <v>150200</v>
      </c>
      <c r="D35" s="313">
        <v>150200</v>
      </c>
      <c r="E35" s="313">
        <v>114158.93</v>
      </c>
      <c r="F35" s="313">
        <v>-36041.07</v>
      </c>
      <c r="G35" s="313">
        <v>148474.5</v>
      </c>
      <c r="H35" s="313">
        <v>131781.5</v>
      </c>
    </row>
    <row r="36" spans="1:8" x14ac:dyDescent="0.2">
      <c r="A36" s="313">
        <v>1343800420</v>
      </c>
      <c r="B36" s="313" t="s">
        <v>299</v>
      </c>
      <c r="C36" s="314">
        <v>48000</v>
      </c>
      <c r="D36" s="313">
        <v>48000</v>
      </c>
      <c r="E36" s="313">
        <v>17813</v>
      </c>
      <c r="F36" s="313">
        <v>-30187</v>
      </c>
      <c r="G36" s="313">
        <v>46133</v>
      </c>
      <c r="H36" s="313">
        <v>53904.6</v>
      </c>
    </row>
    <row r="37" spans="1:8" x14ac:dyDescent="0.2">
      <c r="A37" s="313">
        <v>1343800421</v>
      </c>
      <c r="B37" s="313" t="s">
        <v>1192</v>
      </c>
      <c r="H37" s="313">
        <v>1246</v>
      </c>
    </row>
    <row r="38" spans="1:8" x14ac:dyDescent="0.2">
      <c r="A38" s="313">
        <v>1344300420</v>
      </c>
      <c r="B38" s="313" t="s">
        <v>300</v>
      </c>
      <c r="C38" s="314">
        <v>545333</v>
      </c>
      <c r="D38" s="313">
        <v>545333</v>
      </c>
      <c r="E38" s="313">
        <v>382591.9</v>
      </c>
      <c r="F38" s="313">
        <v>-162741.1</v>
      </c>
      <c r="G38" s="313">
        <v>531606.30000000005</v>
      </c>
      <c r="H38" s="313">
        <v>551985.1</v>
      </c>
    </row>
    <row r="39" spans="1:8" x14ac:dyDescent="0.2">
      <c r="A39" s="313">
        <v>1344300421</v>
      </c>
      <c r="B39" s="313" t="s">
        <v>301</v>
      </c>
      <c r="C39" s="314">
        <v>31200</v>
      </c>
      <c r="D39" s="313">
        <v>31200</v>
      </c>
      <c r="E39" s="313">
        <v>19766</v>
      </c>
      <c r="F39" s="313">
        <v>-11434</v>
      </c>
      <c r="G39" s="313">
        <v>32530</v>
      </c>
      <c r="H39" s="313">
        <v>33984</v>
      </c>
    </row>
    <row r="40" spans="1:8" x14ac:dyDescent="0.2">
      <c r="A40" s="313">
        <v>1344500420</v>
      </c>
      <c r="B40" s="313" t="s">
        <v>302</v>
      </c>
      <c r="C40" s="314">
        <v>100000</v>
      </c>
      <c r="D40" s="313">
        <v>100000</v>
      </c>
      <c r="E40" s="313">
        <v>17763</v>
      </c>
      <c r="F40" s="313">
        <v>-82237</v>
      </c>
      <c r="G40" s="313">
        <v>66896</v>
      </c>
      <c r="H40" s="313">
        <v>38022</v>
      </c>
    </row>
    <row r="41" spans="1:8" x14ac:dyDescent="0.2">
      <c r="A41" s="313">
        <v>1345100420</v>
      </c>
      <c r="B41" s="313" t="s">
        <v>1196</v>
      </c>
      <c r="C41" s="314">
        <v>5000</v>
      </c>
      <c r="D41" s="313">
        <v>5000</v>
      </c>
      <c r="E41" s="313">
        <v>1000</v>
      </c>
      <c r="F41" s="313">
        <v>-4000</v>
      </c>
      <c r="G41" s="313">
        <v>4950</v>
      </c>
      <c r="H41" s="313">
        <v>3862.5</v>
      </c>
    </row>
    <row r="42" spans="1:8" x14ac:dyDescent="0.2">
      <c r="A42" s="313">
        <v>1345300420</v>
      </c>
      <c r="B42" s="313" t="s">
        <v>1197</v>
      </c>
      <c r="G42" s="313">
        <v>12</v>
      </c>
    </row>
    <row r="43" spans="1:8" x14ac:dyDescent="0.2">
      <c r="A43" s="313">
        <v>1345523410</v>
      </c>
      <c r="B43" s="313" t="s">
        <v>298</v>
      </c>
      <c r="C43" s="314">
        <v>72000</v>
      </c>
      <c r="D43" s="313">
        <v>72000</v>
      </c>
      <c r="E43" s="313">
        <v>23314</v>
      </c>
      <c r="F43" s="313">
        <v>-48686</v>
      </c>
      <c r="G43" s="313">
        <v>72130</v>
      </c>
      <c r="H43" s="313">
        <v>67448</v>
      </c>
    </row>
    <row r="44" spans="1:8" x14ac:dyDescent="0.2">
      <c r="A44" s="313">
        <v>1346700420</v>
      </c>
      <c r="B44" s="313" t="s">
        <v>303</v>
      </c>
      <c r="C44" s="314">
        <v>121200</v>
      </c>
      <c r="D44" s="313">
        <v>121200</v>
      </c>
      <c r="E44" s="313">
        <v>70956.95</v>
      </c>
      <c r="F44" s="313">
        <v>-50243.05</v>
      </c>
      <c r="G44" s="313">
        <v>124432.5</v>
      </c>
      <c r="H44" s="313">
        <v>109552.95</v>
      </c>
    </row>
    <row r="45" spans="1:8" x14ac:dyDescent="0.2">
      <c r="A45" s="313">
        <v>1346900420</v>
      </c>
      <c r="B45" s="313" t="s">
        <v>1597</v>
      </c>
      <c r="G45" s="313">
        <v>57122.25</v>
      </c>
      <c r="H45" s="313">
        <v>17985</v>
      </c>
    </row>
    <row r="46" spans="1:8" x14ac:dyDescent="0.2">
      <c r="A46" s="313">
        <v>1346900920</v>
      </c>
      <c r="B46" s="313" t="s">
        <v>1597</v>
      </c>
      <c r="C46" s="314">
        <v>135000</v>
      </c>
      <c r="D46" s="313">
        <v>135000</v>
      </c>
      <c r="F46" s="313">
        <v>-135000</v>
      </c>
    </row>
    <row r="47" spans="1:8" x14ac:dyDescent="0.2">
      <c r="A47" s="313">
        <v>1349000422</v>
      </c>
      <c r="B47" s="313" t="s">
        <v>1200</v>
      </c>
      <c r="C47" s="314">
        <v>5000</v>
      </c>
      <c r="D47" s="313">
        <v>5000</v>
      </c>
      <c r="E47" s="313">
        <v>2860</v>
      </c>
      <c r="F47" s="313">
        <v>-2140</v>
      </c>
      <c r="G47" s="313">
        <v>6565</v>
      </c>
      <c r="H47" s="313">
        <v>7183</v>
      </c>
    </row>
    <row r="48" spans="1:8" x14ac:dyDescent="0.2">
      <c r="A48" s="313">
        <v>1349002420</v>
      </c>
      <c r="B48" s="313" t="s">
        <v>1201</v>
      </c>
      <c r="C48" s="314">
        <v>3000</v>
      </c>
      <c r="D48" s="313">
        <v>3000</v>
      </c>
      <c r="E48" s="313">
        <v>2703</v>
      </c>
      <c r="F48" s="313">
        <v>-297</v>
      </c>
      <c r="G48" s="313">
        <v>2572</v>
      </c>
      <c r="H48" s="313">
        <v>3567</v>
      </c>
    </row>
    <row r="49" spans="1:8" x14ac:dyDescent="0.2">
      <c r="A49" s="313" t="s">
        <v>277</v>
      </c>
      <c r="B49" s="313" t="s">
        <v>296</v>
      </c>
      <c r="C49" s="314">
        <v>1217933</v>
      </c>
      <c r="D49" s="313">
        <v>1217933</v>
      </c>
      <c r="E49" s="313">
        <v>655179.78</v>
      </c>
      <c r="F49" s="313">
        <v>-562753.22</v>
      </c>
      <c r="G49" s="313">
        <v>1095348.55</v>
      </c>
      <c r="H49" s="313">
        <v>1022980.65</v>
      </c>
    </row>
    <row r="50" spans="1:8" x14ac:dyDescent="0.2">
      <c r="A50" s="313" t="s">
        <v>305</v>
      </c>
      <c r="B50" s="313" t="s">
        <v>306</v>
      </c>
    </row>
    <row r="51" spans="1:8" x14ac:dyDescent="0.2">
      <c r="A51" s="313">
        <v>1111200216</v>
      </c>
      <c r="B51" s="313" t="s">
        <v>1369</v>
      </c>
      <c r="C51" s="314">
        <v>220800</v>
      </c>
      <c r="D51" s="313">
        <v>220800</v>
      </c>
      <c r="E51" s="313">
        <v>340213.9</v>
      </c>
      <c r="F51" s="313">
        <v>119413.9</v>
      </c>
      <c r="G51" s="313">
        <v>340019.16</v>
      </c>
      <c r="H51" s="313">
        <v>130017.21</v>
      </c>
    </row>
    <row r="52" spans="1:8" x14ac:dyDescent="0.2">
      <c r="A52" s="313">
        <v>1111300291</v>
      </c>
      <c r="B52" s="313" t="s">
        <v>275</v>
      </c>
      <c r="C52" s="314">
        <v>550000</v>
      </c>
      <c r="D52" s="313">
        <v>550000</v>
      </c>
      <c r="E52" s="313">
        <v>422699.17</v>
      </c>
      <c r="F52" s="313">
        <v>-127300.83</v>
      </c>
      <c r="G52" s="313">
        <v>616201</v>
      </c>
      <c r="H52" s="313">
        <v>355348</v>
      </c>
    </row>
    <row r="53" spans="1:8" x14ac:dyDescent="0.2">
      <c r="A53" s="313">
        <v>1111400100</v>
      </c>
      <c r="B53" s="313" t="s">
        <v>276</v>
      </c>
      <c r="C53" s="314">
        <v>12350000</v>
      </c>
      <c r="D53" s="313">
        <v>12350000</v>
      </c>
      <c r="E53" s="313">
        <v>4750000</v>
      </c>
      <c r="F53" s="313">
        <v>-7600000</v>
      </c>
      <c r="G53" s="313">
        <v>12271786</v>
      </c>
      <c r="H53" s="313">
        <v>4807627</v>
      </c>
    </row>
    <row r="54" spans="1:8" x14ac:dyDescent="0.2">
      <c r="A54" s="313">
        <v>1121000220</v>
      </c>
      <c r="B54" s="313" t="s">
        <v>1542</v>
      </c>
      <c r="C54" s="314">
        <v>3500</v>
      </c>
      <c r="D54" s="313">
        <v>3500</v>
      </c>
      <c r="E54" s="313">
        <v>1575.92</v>
      </c>
      <c r="F54" s="313">
        <v>-1924.08</v>
      </c>
      <c r="G54" s="313">
        <v>2809</v>
      </c>
      <c r="H54" s="313">
        <v>1530.94</v>
      </c>
    </row>
    <row r="55" spans="1:8" x14ac:dyDescent="0.2">
      <c r="A55" s="313">
        <v>1122000220</v>
      </c>
      <c r="B55" s="313" t="s">
        <v>308</v>
      </c>
      <c r="C55" s="314">
        <v>1600000</v>
      </c>
      <c r="D55" s="313">
        <v>1600000</v>
      </c>
      <c r="E55" s="313">
        <v>916494.6</v>
      </c>
      <c r="F55" s="313">
        <v>-683505.4</v>
      </c>
      <c r="G55" s="313">
        <v>1517120.3</v>
      </c>
      <c r="H55" s="313">
        <v>1358807.15</v>
      </c>
    </row>
    <row r="56" spans="1:8" x14ac:dyDescent="0.2">
      <c r="A56" s="313">
        <v>1122000221</v>
      </c>
      <c r="B56" s="313" t="s">
        <v>1370</v>
      </c>
      <c r="C56" s="314">
        <v>400000</v>
      </c>
      <c r="D56" s="313">
        <v>400000</v>
      </c>
      <c r="E56" s="313">
        <v>219678.55</v>
      </c>
      <c r="F56" s="313">
        <v>-180321.45</v>
      </c>
      <c r="G56" s="313">
        <v>349917.03</v>
      </c>
      <c r="H56" s="313">
        <v>233869.6</v>
      </c>
    </row>
    <row r="57" spans="1:8" x14ac:dyDescent="0.2">
      <c r="A57" s="313">
        <v>1124100220</v>
      </c>
      <c r="B57" s="313" t="s">
        <v>309</v>
      </c>
      <c r="G57" s="313">
        <v>97</v>
      </c>
      <c r="H57" s="313">
        <v>1792</v>
      </c>
    </row>
    <row r="58" spans="1:8" x14ac:dyDescent="0.2">
      <c r="A58" s="313">
        <v>1129100220</v>
      </c>
      <c r="B58" s="313" t="s">
        <v>310</v>
      </c>
      <c r="C58" s="314">
        <v>141600</v>
      </c>
      <c r="D58" s="313">
        <v>141600</v>
      </c>
      <c r="E58" s="313">
        <v>217965.74</v>
      </c>
      <c r="F58" s="313">
        <v>76365.740000000005</v>
      </c>
      <c r="G58" s="313">
        <v>199330.3</v>
      </c>
      <c r="H58" s="313">
        <v>93655.4</v>
      </c>
    </row>
    <row r="59" spans="1:8" x14ac:dyDescent="0.2">
      <c r="A59" s="313">
        <v>1129100221</v>
      </c>
      <c r="B59" s="313" t="s">
        <v>311</v>
      </c>
      <c r="C59" s="314">
        <v>682800</v>
      </c>
      <c r="D59" s="313">
        <v>682800</v>
      </c>
      <c r="E59" s="313">
        <v>668385.71</v>
      </c>
      <c r="F59" s="313">
        <v>-14414.29</v>
      </c>
      <c r="G59" s="313">
        <v>813644.47</v>
      </c>
      <c r="H59" s="313">
        <v>484974.15</v>
      </c>
    </row>
    <row r="60" spans="1:8" x14ac:dyDescent="0.2">
      <c r="A60" s="313">
        <v>1160000662</v>
      </c>
      <c r="B60" s="313" t="s">
        <v>312</v>
      </c>
      <c r="C60" s="314">
        <v>2725808</v>
      </c>
      <c r="D60" s="313">
        <v>2725808</v>
      </c>
      <c r="E60" s="313">
        <v>1595389.43</v>
      </c>
      <c r="F60" s="313">
        <v>-1130418.57</v>
      </c>
      <c r="G60" s="313">
        <v>14897.68</v>
      </c>
      <c r="H60" s="313">
        <v>2777523.47</v>
      </c>
    </row>
    <row r="61" spans="1:8" x14ac:dyDescent="0.2">
      <c r="A61" s="313">
        <v>1212300690</v>
      </c>
      <c r="B61" s="313" t="s">
        <v>313</v>
      </c>
      <c r="G61" s="313">
        <v>2000</v>
      </c>
      <c r="H61" s="313">
        <v>5000</v>
      </c>
    </row>
    <row r="62" spans="1:8" x14ac:dyDescent="0.2">
      <c r="A62" s="313">
        <v>1212400220</v>
      </c>
      <c r="B62" s="313" t="s">
        <v>314</v>
      </c>
      <c r="C62" s="314">
        <v>1000000</v>
      </c>
      <c r="D62" s="313">
        <v>1000000</v>
      </c>
      <c r="E62" s="313">
        <v>596571.19999999995</v>
      </c>
      <c r="F62" s="313">
        <v>-403428.8</v>
      </c>
      <c r="G62" s="313">
        <v>956402</v>
      </c>
      <c r="H62" s="313">
        <v>609549.96</v>
      </c>
    </row>
    <row r="63" spans="1:8" x14ac:dyDescent="0.2">
      <c r="A63" s="313">
        <v>1212400221</v>
      </c>
      <c r="B63" s="313" t="s">
        <v>315</v>
      </c>
      <c r="C63" s="314">
        <v>325000</v>
      </c>
      <c r="D63" s="313">
        <v>325000</v>
      </c>
      <c r="E63" s="313">
        <v>189904.6</v>
      </c>
      <c r="F63" s="313">
        <v>-135095.4</v>
      </c>
      <c r="G63" s="313">
        <v>286242</v>
      </c>
      <c r="H63" s="313">
        <v>273765.5</v>
      </c>
    </row>
    <row r="64" spans="1:8" x14ac:dyDescent="0.2">
      <c r="A64" s="313">
        <v>1213000220</v>
      </c>
      <c r="B64" s="313" t="s">
        <v>316</v>
      </c>
      <c r="C64" s="314">
        <v>45600</v>
      </c>
      <c r="D64" s="313">
        <v>45600</v>
      </c>
      <c r="E64" s="313">
        <v>31389.3</v>
      </c>
      <c r="F64" s="313">
        <v>-14210.7</v>
      </c>
      <c r="G64" s="313">
        <v>44772</v>
      </c>
      <c r="H64" s="313">
        <v>40078.199999999997</v>
      </c>
    </row>
    <row r="65" spans="1:8" x14ac:dyDescent="0.2">
      <c r="A65" s="313">
        <v>1213000221</v>
      </c>
      <c r="B65" s="313" t="s">
        <v>1376</v>
      </c>
      <c r="E65" s="313">
        <v>45</v>
      </c>
      <c r="F65" s="313">
        <v>45</v>
      </c>
      <c r="G65" s="313">
        <v>2</v>
      </c>
    </row>
    <row r="66" spans="1:8" x14ac:dyDescent="0.2">
      <c r="A66" s="313">
        <v>1214200221</v>
      </c>
      <c r="B66" s="313" t="s">
        <v>317</v>
      </c>
      <c r="C66" s="314">
        <v>146980</v>
      </c>
      <c r="D66" s="313">
        <v>146980</v>
      </c>
      <c r="E66" s="313">
        <v>178518</v>
      </c>
      <c r="F66" s="313">
        <v>31538</v>
      </c>
      <c r="G66" s="313">
        <v>143651</v>
      </c>
      <c r="H66" s="313">
        <v>80150</v>
      </c>
    </row>
    <row r="67" spans="1:8" x14ac:dyDescent="0.2">
      <c r="A67" s="313">
        <v>1214201220</v>
      </c>
      <c r="B67" s="313" t="s">
        <v>1378</v>
      </c>
      <c r="G67" s="313">
        <v>928</v>
      </c>
    </row>
    <row r="68" spans="1:8" x14ac:dyDescent="0.2">
      <c r="A68" s="313">
        <v>1214300220</v>
      </c>
      <c r="B68" s="313" t="s">
        <v>318</v>
      </c>
      <c r="C68" s="314">
        <v>157091</v>
      </c>
      <c r="D68" s="313">
        <v>157091</v>
      </c>
      <c r="E68" s="313">
        <v>130366.43</v>
      </c>
      <c r="F68" s="313">
        <v>-26724.57</v>
      </c>
      <c r="G68" s="313">
        <v>169343.75</v>
      </c>
      <c r="H68" s="313">
        <v>147337.57999999999</v>
      </c>
    </row>
    <row r="69" spans="1:8" x14ac:dyDescent="0.2">
      <c r="A69" s="313">
        <v>1214301220</v>
      </c>
      <c r="B69" s="313" t="s">
        <v>319</v>
      </c>
      <c r="C69" s="314">
        <v>18000</v>
      </c>
      <c r="D69" s="313">
        <v>18000</v>
      </c>
      <c r="E69" s="313">
        <v>16623.8</v>
      </c>
      <c r="F69" s="313">
        <v>-1376.2</v>
      </c>
      <c r="G69" s="313">
        <v>14402.5</v>
      </c>
      <c r="H69" s="313">
        <v>11262.5</v>
      </c>
    </row>
    <row r="70" spans="1:8" x14ac:dyDescent="0.2">
      <c r="A70" s="313">
        <v>1222000440</v>
      </c>
      <c r="B70" s="313" t="s">
        <v>320</v>
      </c>
      <c r="C70" s="314">
        <v>45333</v>
      </c>
      <c r="D70" s="313">
        <v>45333</v>
      </c>
      <c r="E70" s="313">
        <v>29524</v>
      </c>
      <c r="F70" s="313">
        <v>-15809</v>
      </c>
      <c r="G70" s="313">
        <v>34150</v>
      </c>
      <c r="H70" s="313">
        <v>31817.5</v>
      </c>
    </row>
    <row r="71" spans="1:8" x14ac:dyDescent="0.2">
      <c r="A71" s="313">
        <v>1222000441</v>
      </c>
      <c r="B71" s="313" t="s">
        <v>1586</v>
      </c>
      <c r="C71" s="314">
        <v>1000</v>
      </c>
      <c r="D71" s="313">
        <v>1000</v>
      </c>
      <c r="E71" s="313">
        <v>1000</v>
      </c>
      <c r="G71" s="313">
        <v>400</v>
      </c>
      <c r="H71" s="313">
        <v>200</v>
      </c>
    </row>
    <row r="72" spans="1:8" x14ac:dyDescent="0.2">
      <c r="A72" s="313">
        <v>1222100400</v>
      </c>
      <c r="B72" s="313" t="s">
        <v>321</v>
      </c>
      <c r="C72" s="314">
        <v>350000</v>
      </c>
      <c r="D72" s="313">
        <v>350000</v>
      </c>
      <c r="E72" s="313">
        <v>335562.05</v>
      </c>
      <c r="F72" s="313">
        <v>-14437.95</v>
      </c>
      <c r="G72" s="313">
        <v>301370.28999999998</v>
      </c>
      <c r="H72" s="313">
        <v>418304.48</v>
      </c>
    </row>
    <row r="73" spans="1:8" x14ac:dyDescent="0.2">
      <c r="A73" s="313">
        <v>1222100440</v>
      </c>
      <c r="B73" s="313" t="s">
        <v>322</v>
      </c>
      <c r="C73" s="314">
        <v>2050000</v>
      </c>
      <c r="D73" s="313">
        <v>2050000</v>
      </c>
      <c r="E73" s="313">
        <v>1962064.93</v>
      </c>
      <c r="F73" s="313">
        <v>-87935.07</v>
      </c>
      <c r="G73" s="313">
        <v>2567684.48</v>
      </c>
      <c r="H73" s="313">
        <v>2625198.4</v>
      </c>
    </row>
    <row r="74" spans="1:8" x14ac:dyDescent="0.2">
      <c r="A74" s="313">
        <v>1233000690</v>
      </c>
      <c r="B74" s="313" t="s">
        <v>323</v>
      </c>
      <c r="C74" s="314">
        <v>41410</v>
      </c>
      <c r="D74" s="313">
        <v>41410</v>
      </c>
      <c r="E74" s="313">
        <v>45961.7</v>
      </c>
      <c r="F74" s="313">
        <v>4551.7</v>
      </c>
      <c r="G74" s="313">
        <v>43680.1</v>
      </c>
      <c r="H74" s="313">
        <v>32953.17</v>
      </c>
    </row>
    <row r="75" spans="1:8" x14ac:dyDescent="0.2">
      <c r="A75" s="313">
        <v>1233100220</v>
      </c>
      <c r="B75" s="313" t="s">
        <v>324</v>
      </c>
      <c r="C75" s="314">
        <v>2394640</v>
      </c>
      <c r="D75" s="313">
        <v>2394640</v>
      </c>
      <c r="E75" s="313">
        <v>1886325.17</v>
      </c>
      <c r="F75" s="313">
        <v>-508314.83</v>
      </c>
      <c r="G75" s="313">
        <v>1251270.6399999999</v>
      </c>
      <c r="H75" s="313">
        <v>2368487.61</v>
      </c>
    </row>
    <row r="76" spans="1:8" x14ac:dyDescent="0.2">
      <c r="A76" s="313">
        <v>1233200290</v>
      </c>
      <c r="B76" s="313" t="s">
        <v>325</v>
      </c>
      <c r="C76" s="314">
        <v>1908984</v>
      </c>
      <c r="D76" s="313">
        <v>1908984</v>
      </c>
      <c r="E76" s="313">
        <v>1138983.93</v>
      </c>
      <c r="F76" s="313">
        <v>-770000.07</v>
      </c>
      <c r="G76" s="313">
        <v>2260266.3199999998</v>
      </c>
      <c r="H76" s="313">
        <v>7249827.9000000004</v>
      </c>
    </row>
    <row r="77" spans="1:8" x14ac:dyDescent="0.2">
      <c r="A77" s="313">
        <v>1233200291</v>
      </c>
      <c r="B77" s="313" t="s">
        <v>1587</v>
      </c>
      <c r="C77" s="314">
        <v>504000</v>
      </c>
      <c r="D77" s="313">
        <v>503999.8</v>
      </c>
      <c r="E77" s="313">
        <v>264757.81</v>
      </c>
      <c r="F77" s="313">
        <v>-239241.99</v>
      </c>
      <c r="G77" s="313">
        <v>529813.72</v>
      </c>
    </row>
    <row r="78" spans="1:8" x14ac:dyDescent="0.2">
      <c r="A78" s="313">
        <v>1233200292</v>
      </c>
      <c r="B78" s="313" t="s">
        <v>1660</v>
      </c>
      <c r="C78" s="314">
        <v>375638</v>
      </c>
      <c r="D78" s="313">
        <v>375638</v>
      </c>
      <c r="E78" s="313">
        <v>187819</v>
      </c>
      <c r="F78" s="313">
        <v>-187819</v>
      </c>
    </row>
    <row r="79" spans="1:8" x14ac:dyDescent="0.2">
      <c r="A79" s="313">
        <v>1233200293</v>
      </c>
      <c r="B79" s="313" t="s">
        <v>1738</v>
      </c>
      <c r="C79" s="314">
        <v>1449150</v>
      </c>
      <c r="D79" s="313">
        <v>1449150</v>
      </c>
      <c r="E79" s="313">
        <v>843134</v>
      </c>
      <c r="F79" s="313">
        <v>-606016</v>
      </c>
    </row>
    <row r="80" spans="1:8" x14ac:dyDescent="0.2">
      <c r="A80" s="313">
        <v>1233300290</v>
      </c>
      <c r="B80" s="313" t="s">
        <v>326</v>
      </c>
      <c r="E80" s="313">
        <v>275</v>
      </c>
      <c r="F80" s="313">
        <v>275</v>
      </c>
      <c r="G80" s="313">
        <v>495</v>
      </c>
      <c r="H80" s="313">
        <v>375</v>
      </c>
    </row>
    <row r="81" spans="1:8" x14ac:dyDescent="0.2">
      <c r="A81" s="313">
        <v>1242000220</v>
      </c>
      <c r="B81" s="313" t="s">
        <v>328</v>
      </c>
      <c r="C81" s="314">
        <v>211600</v>
      </c>
      <c r="D81" s="313">
        <v>211600</v>
      </c>
      <c r="E81" s="313">
        <v>55622.400000000001</v>
      </c>
      <c r="F81" s="313">
        <v>-155977.60000000001</v>
      </c>
      <c r="G81" s="313">
        <v>205883.83</v>
      </c>
      <c r="H81" s="313">
        <v>145964.9</v>
      </c>
    </row>
    <row r="82" spans="1:8" x14ac:dyDescent="0.2">
      <c r="A82" s="313">
        <v>1242000221</v>
      </c>
      <c r="B82" s="313" t="s">
        <v>1383</v>
      </c>
      <c r="H82" s="313">
        <v>11168.6</v>
      </c>
    </row>
    <row r="83" spans="1:8" x14ac:dyDescent="0.2">
      <c r="A83" s="313">
        <v>1242000690</v>
      </c>
      <c r="B83" s="313" t="s">
        <v>329</v>
      </c>
      <c r="E83" s="313">
        <v>0</v>
      </c>
      <c r="H83" s="313">
        <v>9432</v>
      </c>
    </row>
    <row r="84" spans="1:8" x14ac:dyDescent="0.2">
      <c r="A84" s="313">
        <v>1261000421</v>
      </c>
      <c r="B84" s="313" t="s">
        <v>330</v>
      </c>
      <c r="C84" s="314">
        <v>200000</v>
      </c>
      <c r="D84" s="313">
        <v>200000</v>
      </c>
      <c r="E84" s="313">
        <v>200000</v>
      </c>
      <c r="G84" s="313">
        <v>200000</v>
      </c>
      <c r="H84" s="313">
        <v>390000</v>
      </c>
    </row>
    <row r="85" spans="1:8" x14ac:dyDescent="0.2">
      <c r="A85" s="313">
        <v>1269000662</v>
      </c>
      <c r="B85" s="313" t="s">
        <v>331</v>
      </c>
      <c r="G85" s="313">
        <v>959.26</v>
      </c>
      <c r="H85" s="313">
        <v>25.77</v>
      </c>
    </row>
    <row r="86" spans="1:8" x14ac:dyDescent="0.2">
      <c r="A86" s="313">
        <v>1269000690</v>
      </c>
      <c r="B86" s="313" t="s">
        <v>1588</v>
      </c>
      <c r="C86" s="314">
        <v>67680</v>
      </c>
      <c r="D86" s="313">
        <v>67680</v>
      </c>
      <c r="E86" s="313">
        <v>68680</v>
      </c>
      <c r="F86" s="313">
        <v>1000</v>
      </c>
      <c r="G86" s="313">
        <v>45521.919999999998</v>
      </c>
    </row>
    <row r="87" spans="1:8" x14ac:dyDescent="0.2">
      <c r="A87" s="313">
        <v>1269000790</v>
      </c>
      <c r="B87" s="313" t="s">
        <v>331</v>
      </c>
      <c r="C87" s="314">
        <v>195272</v>
      </c>
      <c r="D87" s="313">
        <v>195272</v>
      </c>
      <c r="E87" s="313">
        <v>195177.37</v>
      </c>
      <c r="F87" s="313">
        <v>-94.63</v>
      </c>
      <c r="G87" s="313">
        <v>212215.6</v>
      </c>
      <c r="H87" s="313">
        <v>164323.84</v>
      </c>
    </row>
    <row r="88" spans="1:8" x14ac:dyDescent="0.2">
      <c r="A88" s="313">
        <v>1269000791</v>
      </c>
      <c r="B88" s="313" t="s">
        <v>1699</v>
      </c>
      <c r="C88" s="314">
        <v>250000</v>
      </c>
      <c r="D88" s="313">
        <v>250000</v>
      </c>
      <c r="F88" s="313">
        <v>-250000</v>
      </c>
      <c r="G88" s="313">
        <v>71909.210000000006</v>
      </c>
    </row>
    <row r="89" spans="1:8" x14ac:dyDescent="0.2">
      <c r="A89" s="313">
        <v>1281000215</v>
      </c>
      <c r="B89" s="313" t="s">
        <v>332</v>
      </c>
      <c r="C89" s="314">
        <v>75000</v>
      </c>
      <c r="D89" s="313">
        <v>75000</v>
      </c>
      <c r="E89" s="313">
        <v>123323.23</v>
      </c>
      <c r="F89" s="313">
        <v>48323.23</v>
      </c>
      <c r="G89" s="313">
        <v>176849.2</v>
      </c>
      <c r="H89" s="313">
        <v>62135.76</v>
      </c>
    </row>
    <row r="90" spans="1:8" x14ac:dyDescent="0.2">
      <c r="A90" s="313">
        <v>1281000221</v>
      </c>
      <c r="B90" s="313" t="s">
        <v>1447</v>
      </c>
      <c r="H90" s="313">
        <v>400</v>
      </c>
    </row>
    <row r="91" spans="1:8" x14ac:dyDescent="0.2">
      <c r="A91" s="313">
        <v>1281000222</v>
      </c>
      <c r="B91" s="313" t="s">
        <v>1540</v>
      </c>
      <c r="E91" s="313">
        <v>410.23</v>
      </c>
      <c r="F91" s="313">
        <v>410.23</v>
      </c>
    </row>
    <row r="92" spans="1:8" x14ac:dyDescent="0.2">
      <c r="A92" s="313">
        <v>1282000490</v>
      </c>
      <c r="B92" s="313" t="s">
        <v>333</v>
      </c>
      <c r="C92" s="314">
        <v>250000</v>
      </c>
      <c r="D92" s="313">
        <v>250000</v>
      </c>
      <c r="E92" s="313">
        <v>287526.82</v>
      </c>
      <c r="F92" s="313">
        <v>37526.82</v>
      </c>
      <c r="G92" s="313">
        <v>202756.52</v>
      </c>
      <c r="H92" s="313">
        <v>418046.04</v>
      </c>
    </row>
    <row r="93" spans="1:8" x14ac:dyDescent="0.2">
      <c r="A93" s="313">
        <v>1322000410</v>
      </c>
      <c r="B93" s="313" t="s">
        <v>334</v>
      </c>
      <c r="C93" s="314">
        <v>330000</v>
      </c>
      <c r="D93" s="313">
        <v>330000</v>
      </c>
      <c r="E93" s="313">
        <v>3280</v>
      </c>
      <c r="F93" s="313">
        <v>-326720</v>
      </c>
      <c r="G93" s="313">
        <v>332465</v>
      </c>
      <c r="H93" s="313">
        <v>307030</v>
      </c>
    </row>
    <row r="94" spans="1:8" x14ac:dyDescent="0.2">
      <c r="A94" s="313">
        <v>1322000411</v>
      </c>
      <c r="B94" s="313" t="s">
        <v>335</v>
      </c>
      <c r="C94" s="314">
        <v>120000</v>
      </c>
      <c r="D94" s="313">
        <v>120000</v>
      </c>
      <c r="E94" s="313">
        <v>54290</v>
      </c>
      <c r="F94" s="313">
        <v>-65710</v>
      </c>
      <c r="G94" s="313">
        <v>120800</v>
      </c>
      <c r="H94" s="313">
        <v>108896</v>
      </c>
    </row>
    <row r="95" spans="1:8" x14ac:dyDescent="0.2">
      <c r="A95" s="313">
        <v>1322000740</v>
      </c>
      <c r="B95" s="313" t="s">
        <v>336</v>
      </c>
      <c r="C95" s="314">
        <v>100000</v>
      </c>
      <c r="D95" s="313">
        <v>100000</v>
      </c>
      <c r="F95" s="313">
        <v>-100000</v>
      </c>
      <c r="G95" s="313">
        <v>100000</v>
      </c>
      <c r="H95" s="313">
        <v>95000</v>
      </c>
    </row>
    <row r="96" spans="1:8" x14ac:dyDescent="0.2">
      <c r="A96" s="313">
        <v>1322000790</v>
      </c>
      <c r="B96" s="313" t="s">
        <v>337</v>
      </c>
      <c r="C96" s="314">
        <v>205000</v>
      </c>
      <c r="D96" s="313">
        <v>205000</v>
      </c>
      <c r="F96" s="313">
        <v>-205000</v>
      </c>
      <c r="G96" s="313">
        <v>205000</v>
      </c>
      <c r="H96" s="313">
        <v>170000</v>
      </c>
    </row>
    <row r="97" spans="1:8" x14ac:dyDescent="0.2">
      <c r="A97" s="313">
        <v>1323000420</v>
      </c>
      <c r="B97" s="313" t="s">
        <v>338</v>
      </c>
      <c r="C97" s="314">
        <v>20000</v>
      </c>
      <c r="D97" s="313">
        <v>20000</v>
      </c>
      <c r="E97" s="313">
        <v>14043</v>
      </c>
      <c r="F97" s="313">
        <v>-5957</v>
      </c>
      <c r="G97" s="313">
        <v>16145</v>
      </c>
      <c r="H97" s="313">
        <v>20322</v>
      </c>
    </row>
    <row r="98" spans="1:8" x14ac:dyDescent="0.2">
      <c r="A98" s="313">
        <v>1325200220</v>
      </c>
      <c r="B98" s="313" t="s">
        <v>339</v>
      </c>
      <c r="C98" s="314">
        <v>1270000</v>
      </c>
      <c r="D98" s="313">
        <v>1270000</v>
      </c>
      <c r="E98" s="313">
        <v>898169.89</v>
      </c>
      <c r="F98" s="313">
        <v>-371830.11</v>
      </c>
      <c r="G98" s="313">
        <v>1376110.42</v>
      </c>
      <c r="H98" s="313">
        <v>1321973.27</v>
      </c>
    </row>
    <row r="99" spans="1:8" x14ac:dyDescent="0.2">
      <c r="A99" s="313">
        <v>1325200221</v>
      </c>
      <c r="B99" s="313" t="s">
        <v>1590</v>
      </c>
      <c r="C99" s="314">
        <v>8500</v>
      </c>
      <c r="D99" s="313">
        <v>8500</v>
      </c>
      <c r="E99" s="313">
        <v>10000</v>
      </c>
      <c r="F99" s="313">
        <v>1500</v>
      </c>
      <c r="G99" s="313">
        <v>3000</v>
      </c>
    </row>
    <row r="100" spans="1:8" x14ac:dyDescent="0.2">
      <c r="A100" s="313">
        <v>1325200410</v>
      </c>
      <c r="B100" s="313" t="s">
        <v>340</v>
      </c>
      <c r="C100" s="314">
        <v>10000</v>
      </c>
      <c r="D100" s="313">
        <v>10000</v>
      </c>
      <c r="E100" s="313">
        <v>12900</v>
      </c>
      <c r="F100" s="313">
        <v>2900</v>
      </c>
      <c r="G100" s="313">
        <v>8585</v>
      </c>
      <c r="H100" s="313">
        <v>13190</v>
      </c>
    </row>
    <row r="101" spans="1:8" x14ac:dyDescent="0.2">
      <c r="A101" s="313">
        <v>1325200411</v>
      </c>
      <c r="B101" s="313" t="s">
        <v>1641</v>
      </c>
      <c r="C101" s="314">
        <v>40000</v>
      </c>
      <c r="D101" s="313">
        <v>40000</v>
      </c>
      <c r="F101" s="313">
        <v>-40000</v>
      </c>
    </row>
    <row r="102" spans="1:8" x14ac:dyDescent="0.2">
      <c r="A102" s="313">
        <v>1325200700</v>
      </c>
      <c r="B102" s="313" t="s">
        <v>341</v>
      </c>
      <c r="C102" s="314">
        <v>80000</v>
      </c>
      <c r="D102" s="313">
        <v>80000</v>
      </c>
      <c r="E102" s="313">
        <v>80000</v>
      </c>
      <c r="G102" s="313">
        <v>120000</v>
      </c>
      <c r="H102" s="313">
        <v>40000</v>
      </c>
    </row>
    <row r="103" spans="1:8" x14ac:dyDescent="0.2">
      <c r="A103" s="313">
        <v>1329300921</v>
      </c>
      <c r="B103" s="313" t="s">
        <v>1537</v>
      </c>
      <c r="C103" s="314">
        <v>68007</v>
      </c>
      <c r="D103" s="313">
        <v>68007</v>
      </c>
      <c r="E103" s="313">
        <v>84823.79</v>
      </c>
      <c r="F103" s="313">
        <v>16816.79</v>
      </c>
      <c r="H103" s="313">
        <v>123921</v>
      </c>
    </row>
    <row r="104" spans="1:8" x14ac:dyDescent="0.2">
      <c r="A104" s="313">
        <v>1360000410</v>
      </c>
      <c r="B104" s="313" t="s">
        <v>342</v>
      </c>
      <c r="C104" s="314">
        <v>42140</v>
      </c>
      <c r="D104" s="313">
        <v>42140</v>
      </c>
      <c r="E104" s="313">
        <v>53175</v>
      </c>
      <c r="F104" s="313">
        <v>11035</v>
      </c>
      <c r="G104" s="313">
        <v>34760</v>
      </c>
      <c r="H104" s="313">
        <v>38990</v>
      </c>
    </row>
    <row r="105" spans="1:8" x14ac:dyDescent="0.2">
      <c r="A105" s="313">
        <v>1413100221</v>
      </c>
      <c r="B105" s="313" t="s">
        <v>343</v>
      </c>
      <c r="C105" s="314">
        <v>2500</v>
      </c>
      <c r="D105" s="313">
        <v>2500</v>
      </c>
      <c r="E105" s="313">
        <v>1398.7</v>
      </c>
      <c r="F105" s="313">
        <v>-1101.3</v>
      </c>
      <c r="G105" s="313">
        <v>2627.9</v>
      </c>
      <c r="H105" s="313">
        <v>2745.5</v>
      </c>
    </row>
    <row r="106" spans="1:8" x14ac:dyDescent="0.2">
      <c r="A106" s="313">
        <v>1413200220</v>
      </c>
      <c r="B106" s="313" t="s">
        <v>1</v>
      </c>
      <c r="C106" s="314">
        <v>4000</v>
      </c>
      <c r="D106" s="313">
        <v>4000</v>
      </c>
      <c r="E106" s="313">
        <v>3505.4</v>
      </c>
      <c r="F106" s="313">
        <v>-494.6</v>
      </c>
      <c r="G106" s="313">
        <v>484770.24</v>
      </c>
      <c r="H106" s="313">
        <v>662333.61</v>
      </c>
    </row>
    <row r="107" spans="1:8" x14ac:dyDescent="0.2">
      <c r="A107" s="313">
        <v>1433000215</v>
      </c>
      <c r="B107" s="313" t="s">
        <v>344</v>
      </c>
      <c r="C107" s="314">
        <v>20000</v>
      </c>
      <c r="D107" s="313">
        <v>20000</v>
      </c>
      <c r="E107" s="313">
        <v>5561.5</v>
      </c>
      <c r="F107" s="313">
        <v>-14438.5</v>
      </c>
      <c r="G107" s="313">
        <v>13555.4</v>
      </c>
      <c r="H107" s="313">
        <v>24647.51</v>
      </c>
    </row>
    <row r="108" spans="1:8" x14ac:dyDescent="0.2">
      <c r="A108" s="313">
        <v>1433000641</v>
      </c>
      <c r="B108" s="313" t="s">
        <v>345</v>
      </c>
      <c r="C108" s="314">
        <v>450000</v>
      </c>
      <c r="D108" s="313">
        <v>450000</v>
      </c>
      <c r="E108" s="313">
        <v>181797.15</v>
      </c>
      <c r="F108" s="313">
        <v>-268202.84999999998</v>
      </c>
      <c r="G108" s="313">
        <v>285995.34000000003</v>
      </c>
      <c r="H108" s="313">
        <v>493475.58</v>
      </c>
    </row>
    <row r="109" spans="1:8" x14ac:dyDescent="0.2">
      <c r="A109" s="313">
        <v>1433000642</v>
      </c>
      <c r="B109" s="313" t="s">
        <v>346</v>
      </c>
      <c r="C109" s="314">
        <v>1200000</v>
      </c>
      <c r="D109" s="313">
        <v>1200000</v>
      </c>
      <c r="E109" s="313">
        <v>1382926.55</v>
      </c>
      <c r="F109" s="313">
        <v>182926.55</v>
      </c>
      <c r="G109" s="313">
        <v>1152648.17</v>
      </c>
      <c r="H109" s="313">
        <v>887996.23</v>
      </c>
    </row>
    <row r="110" spans="1:8" x14ac:dyDescent="0.2">
      <c r="A110" s="313">
        <v>1433000644</v>
      </c>
      <c r="B110" s="313" t="s">
        <v>347</v>
      </c>
      <c r="C110" s="314">
        <v>280000</v>
      </c>
      <c r="D110" s="313">
        <v>280000</v>
      </c>
      <c r="E110" s="313">
        <v>210631.82</v>
      </c>
      <c r="F110" s="313">
        <v>-69368.179999999993</v>
      </c>
      <c r="G110" s="313">
        <v>282018.78999999998</v>
      </c>
      <c r="H110" s="313">
        <v>302792.84000000003</v>
      </c>
    </row>
    <row r="111" spans="1:8" x14ac:dyDescent="0.2">
      <c r="A111" s="313">
        <v>1437000215</v>
      </c>
      <c r="B111" s="313" t="s">
        <v>348</v>
      </c>
      <c r="C111" s="314">
        <v>50000</v>
      </c>
      <c r="D111" s="313">
        <v>50000</v>
      </c>
      <c r="E111" s="313">
        <v>27691.3</v>
      </c>
      <c r="F111" s="313">
        <v>-22308.7</v>
      </c>
      <c r="G111" s="313">
        <v>52161.1</v>
      </c>
      <c r="H111" s="313">
        <v>62827.7</v>
      </c>
    </row>
    <row r="112" spans="1:8" x14ac:dyDescent="0.2">
      <c r="A112" s="313">
        <v>1437000640</v>
      </c>
      <c r="B112" s="313" t="s">
        <v>245</v>
      </c>
      <c r="C112" s="314">
        <v>300000</v>
      </c>
      <c r="D112" s="313">
        <v>300000</v>
      </c>
      <c r="E112" s="313">
        <v>200800.2</v>
      </c>
      <c r="F112" s="313">
        <v>-99199.8</v>
      </c>
      <c r="G112" s="313">
        <v>338192.4</v>
      </c>
      <c r="H112" s="313">
        <v>257764.4</v>
      </c>
    </row>
    <row r="113" spans="1:8" x14ac:dyDescent="0.2">
      <c r="A113" s="313">
        <v>1439000690</v>
      </c>
      <c r="B113" s="313" t="s">
        <v>6</v>
      </c>
      <c r="G113" s="313">
        <v>710</v>
      </c>
      <c r="H113" s="313">
        <v>2500</v>
      </c>
    </row>
    <row r="114" spans="1:8" x14ac:dyDescent="0.2">
      <c r="A114" s="313">
        <v>1443100220</v>
      </c>
      <c r="B114" s="313" t="s">
        <v>350</v>
      </c>
      <c r="C114" s="314">
        <v>28438</v>
      </c>
      <c r="D114" s="313">
        <v>28438</v>
      </c>
      <c r="E114" s="313">
        <v>29349.87</v>
      </c>
      <c r="F114" s="313">
        <v>911.87</v>
      </c>
      <c r="G114" s="313">
        <v>7140</v>
      </c>
      <c r="H114" s="313">
        <v>29285.5</v>
      </c>
    </row>
    <row r="115" spans="1:8" x14ac:dyDescent="0.2">
      <c r="A115" s="313">
        <v>1443100290</v>
      </c>
      <c r="B115" s="313" t="s">
        <v>2057</v>
      </c>
      <c r="C115" s="314">
        <v>3700000</v>
      </c>
      <c r="D115" s="313">
        <v>3700000</v>
      </c>
      <c r="E115" s="313">
        <v>3361107.28</v>
      </c>
      <c r="F115" s="313">
        <v>-338892.72</v>
      </c>
      <c r="G115" s="313">
        <v>3594726.66</v>
      </c>
      <c r="H115" s="313">
        <v>3616524.37</v>
      </c>
    </row>
    <row r="116" spans="1:8" x14ac:dyDescent="0.2">
      <c r="A116" s="313">
        <v>1443100291</v>
      </c>
      <c r="B116" s="313" t="s">
        <v>1599</v>
      </c>
      <c r="C116" s="314">
        <v>200000</v>
      </c>
      <c r="D116" s="313">
        <v>200000</v>
      </c>
      <c r="E116" s="313">
        <v>257914.81</v>
      </c>
      <c r="F116" s="313">
        <v>57914.81</v>
      </c>
      <c r="G116" s="313">
        <v>291895.8</v>
      </c>
      <c r="H116" s="313">
        <v>161781.07999999999</v>
      </c>
    </row>
    <row r="117" spans="1:8" x14ac:dyDescent="0.2">
      <c r="A117" s="313">
        <v>1443100292</v>
      </c>
      <c r="B117" s="313" t="s">
        <v>353</v>
      </c>
      <c r="C117" s="314">
        <v>756000</v>
      </c>
      <c r="D117" s="313">
        <v>756000</v>
      </c>
      <c r="E117" s="313">
        <v>587023.47</v>
      </c>
      <c r="F117" s="313">
        <v>-168976.53</v>
      </c>
      <c r="G117" s="313">
        <v>739011.11</v>
      </c>
      <c r="H117" s="313">
        <v>216914.19</v>
      </c>
    </row>
    <row r="118" spans="1:8" x14ac:dyDescent="0.2">
      <c r="A118" s="313">
        <v>1443100293</v>
      </c>
      <c r="B118" s="313" t="s">
        <v>354</v>
      </c>
      <c r="C118" s="314">
        <v>1350000</v>
      </c>
      <c r="D118" s="313">
        <v>1350000</v>
      </c>
      <c r="E118" s="313">
        <v>1143380</v>
      </c>
      <c r="F118" s="313">
        <v>-206620</v>
      </c>
      <c r="G118" s="313">
        <v>1313556</v>
      </c>
      <c r="H118" s="313">
        <v>1242926.1000000001</v>
      </c>
    </row>
    <row r="119" spans="1:8" x14ac:dyDescent="0.2">
      <c r="A119" s="313">
        <v>1443100295</v>
      </c>
      <c r="B119" s="313" t="s">
        <v>1162</v>
      </c>
      <c r="G119" s="313">
        <v>3562.66</v>
      </c>
      <c r="H119" s="313">
        <v>244649.4</v>
      </c>
    </row>
    <row r="120" spans="1:8" x14ac:dyDescent="0.2">
      <c r="A120" s="313">
        <v>1443100296</v>
      </c>
      <c r="B120" s="313" t="s">
        <v>1535</v>
      </c>
      <c r="C120" s="314">
        <v>878667</v>
      </c>
      <c r="D120" s="313">
        <v>878667</v>
      </c>
      <c r="E120" s="313">
        <v>692304.34</v>
      </c>
      <c r="F120" s="313">
        <v>-186362.66</v>
      </c>
      <c r="G120" s="313">
        <v>708732.92</v>
      </c>
      <c r="H120" s="313">
        <v>324104.65999999997</v>
      </c>
    </row>
    <row r="121" spans="1:8" x14ac:dyDescent="0.2">
      <c r="A121" s="313">
        <v>1443100297</v>
      </c>
      <c r="B121" s="313" t="s">
        <v>1534</v>
      </c>
      <c r="C121" s="314">
        <v>60000</v>
      </c>
      <c r="D121" s="313">
        <v>60000</v>
      </c>
      <c r="E121" s="313">
        <v>48449.48</v>
      </c>
      <c r="F121" s="313">
        <v>-11550.52</v>
      </c>
      <c r="G121" s="313">
        <v>40176.879999999997</v>
      </c>
      <c r="H121" s="313">
        <v>10244.9</v>
      </c>
    </row>
    <row r="122" spans="1:8" x14ac:dyDescent="0.2">
      <c r="A122" s="313">
        <v>1444000490</v>
      </c>
      <c r="B122" s="313" t="s">
        <v>356</v>
      </c>
      <c r="C122" s="314">
        <v>21004</v>
      </c>
      <c r="D122" s="313">
        <v>21004</v>
      </c>
      <c r="E122" s="313">
        <v>21004</v>
      </c>
      <c r="G122" s="313">
        <v>6567</v>
      </c>
      <c r="H122" s="313">
        <v>20835</v>
      </c>
    </row>
    <row r="123" spans="1:8" x14ac:dyDescent="0.2">
      <c r="A123" s="313">
        <v>1472000212</v>
      </c>
      <c r="B123" s="313" t="s">
        <v>357</v>
      </c>
      <c r="C123" s="314">
        <v>160000</v>
      </c>
      <c r="D123" s="313">
        <v>160000</v>
      </c>
      <c r="E123" s="313">
        <v>99096.51</v>
      </c>
      <c r="F123" s="313">
        <v>-60903.49</v>
      </c>
      <c r="G123" s="313">
        <v>158627.46</v>
      </c>
      <c r="H123" s="313">
        <v>167057.96</v>
      </c>
    </row>
    <row r="124" spans="1:8" x14ac:dyDescent="0.2">
      <c r="A124" s="313">
        <v>1472000213</v>
      </c>
      <c r="B124" s="313" t="s">
        <v>358</v>
      </c>
      <c r="G124" s="313">
        <v>2236525.92</v>
      </c>
      <c r="H124" s="313">
        <v>2413926</v>
      </c>
    </row>
    <row r="125" spans="1:8" x14ac:dyDescent="0.2">
      <c r="A125" s="313">
        <v>1472000215</v>
      </c>
      <c r="B125" s="313" t="s">
        <v>359</v>
      </c>
      <c r="C125" s="314">
        <v>60109</v>
      </c>
      <c r="D125" s="313">
        <v>60109</v>
      </c>
      <c r="E125" s="313">
        <v>60131</v>
      </c>
      <c r="F125" s="313">
        <v>22</v>
      </c>
      <c r="G125" s="313">
        <v>262.8</v>
      </c>
      <c r="H125" s="313">
        <v>1276.2</v>
      </c>
    </row>
    <row r="126" spans="1:8" x14ac:dyDescent="0.2">
      <c r="A126" s="313" t="s">
        <v>277</v>
      </c>
      <c r="B126" s="313" t="s">
        <v>306</v>
      </c>
      <c r="C126" s="314">
        <v>42551251</v>
      </c>
      <c r="D126" s="313">
        <v>42551250.799999997</v>
      </c>
      <c r="E126" s="313">
        <v>27426724.050000001</v>
      </c>
      <c r="F126" s="313">
        <v>-15124526.75</v>
      </c>
      <c r="G126" s="313">
        <v>39879121.25</v>
      </c>
      <c r="H126" s="313">
        <v>38726880.630000003</v>
      </c>
    </row>
    <row r="127" spans="1:8" x14ac:dyDescent="0.2">
      <c r="A127" s="313" t="s">
        <v>277</v>
      </c>
      <c r="B127" s="313" t="s">
        <v>1446</v>
      </c>
      <c r="C127" s="314">
        <v>85735824</v>
      </c>
      <c r="D127" s="313">
        <v>85735823.799999997</v>
      </c>
      <c r="E127" s="313">
        <v>69947118.079999998</v>
      </c>
      <c r="F127" s="313">
        <v>-15788705.720000001</v>
      </c>
      <c r="G127" s="313">
        <v>82891143.700000003</v>
      </c>
      <c r="H127" s="313">
        <v>81312094.25</v>
      </c>
    </row>
    <row r="128" spans="1:8" x14ac:dyDescent="0.2">
      <c r="A128" s="313" t="s">
        <v>281</v>
      </c>
      <c r="B128" s="313" t="s">
        <v>1448</v>
      </c>
    </row>
    <row r="129" spans="1:8" x14ac:dyDescent="0.2">
      <c r="A129" s="313" t="s">
        <v>360</v>
      </c>
      <c r="B129" s="313" t="s">
        <v>361</v>
      </c>
    </row>
    <row r="130" spans="1:8" x14ac:dyDescent="0.2">
      <c r="A130" s="313">
        <v>1312200920</v>
      </c>
      <c r="B130" s="313" t="s">
        <v>1388</v>
      </c>
      <c r="E130" s="313">
        <v>-16905</v>
      </c>
      <c r="F130" s="313">
        <v>-16905</v>
      </c>
      <c r="H130" s="313">
        <v>0</v>
      </c>
    </row>
    <row r="131" spans="1:8" x14ac:dyDescent="0.2">
      <c r="A131" s="313">
        <v>1312210920</v>
      </c>
      <c r="B131" s="313" t="s">
        <v>362</v>
      </c>
      <c r="C131" s="314">
        <v>18142071</v>
      </c>
      <c r="D131" s="313">
        <v>18142071</v>
      </c>
      <c r="E131" s="313">
        <v>15165153.119999999</v>
      </c>
      <c r="F131" s="313">
        <v>-2976917.88</v>
      </c>
      <c r="G131" s="313">
        <v>18506589.239999998</v>
      </c>
      <c r="H131" s="313">
        <v>15587026.76</v>
      </c>
    </row>
    <row r="132" spans="1:8" x14ac:dyDescent="0.2">
      <c r="A132" s="313">
        <v>1312220920</v>
      </c>
      <c r="B132" s="313" t="s">
        <v>363</v>
      </c>
      <c r="C132" s="314">
        <v>4820402</v>
      </c>
      <c r="D132" s="313">
        <v>4820402</v>
      </c>
      <c r="E132" s="313">
        <v>2477141</v>
      </c>
      <c r="F132" s="313">
        <v>-2343261</v>
      </c>
      <c r="G132" s="313">
        <v>4428704</v>
      </c>
      <c r="H132" s="313">
        <v>4055097.42</v>
      </c>
    </row>
    <row r="133" spans="1:8" x14ac:dyDescent="0.2">
      <c r="A133" s="313">
        <v>1312230920</v>
      </c>
      <c r="B133" s="313" t="s">
        <v>364</v>
      </c>
      <c r="C133" s="314">
        <v>20000</v>
      </c>
      <c r="D133" s="313">
        <v>20000</v>
      </c>
      <c r="E133" s="313">
        <v>35393.5</v>
      </c>
      <c r="F133" s="313">
        <v>15393.5</v>
      </c>
      <c r="G133" s="313">
        <v>34891</v>
      </c>
      <c r="H133" s="313">
        <v>47612</v>
      </c>
    </row>
    <row r="134" spans="1:8" x14ac:dyDescent="0.2">
      <c r="A134" s="313">
        <v>1312501920</v>
      </c>
      <c r="B134" s="313" t="s">
        <v>365</v>
      </c>
      <c r="C134" s="314">
        <v>1031401</v>
      </c>
      <c r="D134" s="313">
        <v>1031401</v>
      </c>
      <c r="F134" s="313">
        <v>-1031401</v>
      </c>
      <c r="G134" s="313">
        <v>1143395</v>
      </c>
      <c r="H134" s="313">
        <v>896518</v>
      </c>
    </row>
    <row r="135" spans="1:8" x14ac:dyDescent="0.2">
      <c r="A135" s="313">
        <v>1313200920</v>
      </c>
      <c r="B135" s="313" t="s">
        <v>56</v>
      </c>
      <c r="C135" s="314">
        <v>1275000</v>
      </c>
      <c r="D135" s="313">
        <v>1275000</v>
      </c>
      <c r="E135" s="313">
        <v>1442283.49</v>
      </c>
      <c r="F135" s="313">
        <v>167283.49</v>
      </c>
      <c r="G135" s="313">
        <v>1065502.43</v>
      </c>
      <c r="H135" s="313">
        <v>793956.2</v>
      </c>
    </row>
    <row r="136" spans="1:8" x14ac:dyDescent="0.2">
      <c r="A136" s="313">
        <v>1313200923</v>
      </c>
      <c r="B136" s="313" t="s">
        <v>2048</v>
      </c>
      <c r="E136" s="313">
        <v>161642</v>
      </c>
      <c r="F136" s="313">
        <v>161642</v>
      </c>
    </row>
    <row r="137" spans="1:8" x14ac:dyDescent="0.2">
      <c r="A137" s="313">
        <v>1313201920</v>
      </c>
      <c r="B137" s="313" t="s">
        <v>1704</v>
      </c>
      <c r="C137" s="314">
        <v>492518</v>
      </c>
      <c r="D137" s="313">
        <v>492518</v>
      </c>
      <c r="E137" s="313">
        <v>233144</v>
      </c>
      <c r="F137" s="313">
        <v>-259374</v>
      </c>
      <c r="G137" s="313">
        <v>347345</v>
      </c>
      <c r="H137" s="313">
        <v>388815</v>
      </c>
    </row>
    <row r="138" spans="1:8" x14ac:dyDescent="0.2">
      <c r="A138" s="313">
        <v>1313201921</v>
      </c>
      <c r="B138" s="313" t="s">
        <v>1493</v>
      </c>
      <c r="C138" s="314">
        <v>520202</v>
      </c>
      <c r="D138" s="313">
        <v>520202</v>
      </c>
      <c r="E138" s="313">
        <v>431421.52</v>
      </c>
      <c r="F138" s="313">
        <v>-88780.479999999996</v>
      </c>
      <c r="G138" s="313">
        <v>513082.56</v>
      </c>
      <c r="H138" s="313">
        <v>153381.85</v>
      </c>
    </row>
    <row r="139" spans="1:8" x14ac:dyDescent="0.2">
      <c r="A139" s="313">
        <v>1313201922</v>
      </c>
      <c r="B139" s="313" t="s">
        <v>1492</v>
      </c>
      <c r="C139" s="314">
        <v>540750</v>
      </c>
      <c r="D139" s="313">
        <v>540750</v>
      </c>
      <c r="E139" s="313">
        <v>409237.5</v>
      </c>
      <c r="F139" s="313">
        <v>-131512.5</v>
      </c>
      <c r="G139" s="313">
        <v>526987.5</v>
      </c>
      <c r="H139" s="313">
        <v>172337.5</v>
      </c>
    </row>
    <row r="140" spans="1:8" x14ac:dyDescent="0.2">
      <c r="A140" s="313">
        <v>1313201923</v>
      </c>
      <c r="B140" s="313" t="s">
        <v>1538</v>
      </c>
      <c r="C140" s="314">
        <v>2860641</v>
      </c>
      <c r="D140" s="313">
        <v>2860641</v>
      </c>
      <c r="E140" s="313">
        <v>2325252.81</v>
      </c>
      <c r="F140" s="313">
        <v>-535388.18999999994</v>
      </c>
      <c r="G140" s="313">
        <v>3080154.43</v>
      </c>
      <c r="H140" s="313">
        <v>927214.55</v>
      </c>
    </row>
    <row r="141" spans="1:8" x14ac:dyDescent="0.2">
      <c r="A141" s="313">
        <v>1313202920</v>
      </c>
      <c r="B141" s="313" t="s">
        <v>1156</v>
      </c>
      <c r="E141" s="313">
        <v>-169075.69</v>
      </c>
      <c r="F141" s="313">
        <v>-169075.69</v>
      </c>
      <c r="G141" s="313">
        <v>-311616.36</v>
      </c>
      <c r="H141" s="313">
        <v>-69335.520000000004</v>
      </c>
    </row>
    <row r="142" spans="1:8" x14ac:dyDescent="0.2">
      <c r="A142" s="313">
        <v>1313204920</v>
      </c>
      <c r="B142" s="313" t="s">
        <v>367</v>
      </c>
      <c r="C142" s="314">
        <v>107860</v>
      </c>
      <c r="D142" s="313">
        <v>107860</v>
      </c>
      <c r="E142" s="313">
        <v>246596.27</v>
      </c>
      <c r="F142" s="313">
        <v>138736.26999999999</v>
      </c>
      <c r="G142" s="313">
        <v>330359.89</v>
      </c>
      <c r="H142" s="313">
        <v>756856.76</v>
      </c>
    </row>
    <row r="143" spans="1:8" x14ac:dyDescent="0.2">
      <c r="A143" s="313">
        <v>1313205920</v>
      </c>
      <c r="B143" s="313" t="s">
        <v>368</v>
      </c>
      <c r="C143" s="314">
        <v>312611</v>
      </c>
      <c r="D143" s="313">
        <v>312611</v>
      </c>
      <c r="E143" s="313">
        <v>733001.88</v>
      </c>
      <c r="F143" s="313">
        <v>420390.88</v>
      </c>
      <c r="G143" s="313">
        <v>862326.41</v>
      </c>
      <c r="H143" s="313">
        <v>1936329.92</v>
      </c>
    </row>
    <row r="144" spans="1:8" x14ac:dyDescent="0.2">
      <c r="A144" s="313">
        <v>1313213920</v>
      </c>
      <c r="B144" s="313" t="s">
        <v>369</v>
      </c>
      <c r="C144" s="314">
        <v>2913760</v>
      </c>
      <c r="D144" s="313">
        <v>2913760</v>
      </c>
      <c r="E144" s="313">
        <v>3151363.35</v>
      </c>
      <c r="F144" s="313">
        <v>237603.35</v>
      </c>
      <c r="G144" s="313">
        <v>3165754.16</v>
      </c>
      <c r="H144" s="313">
        <v>2546439.84</v>
      </c>
    </row>
    <row r="145" spans="1:8" x14ac:dyDescent="0.2">
      <c r="A145" s="313">
        <v>1313221920</v>
      </c>
      <c r="B145" s="313" t="s">
        <v>370</v>
      </c>
      <c r="C145" s="314">
        <v>33269</v>
      </c>
      <c r="D145" s="313">
        <v>33269</v>
      </c>
      <c r="E145" s="313">
        <v>32942.99</v>
      </c>
      <c r="F145" s="313">
        <v>-326.01</v>
      </c>
      <c r="G145" s="313">
        <v>38847.32</v>
      </c>
      <c r="H145" s="313">
        <v>88686.32</v>
      </c>
    </row>
    <row r="146" spans="1:8" x14ac:dyDescent="0.2">
      <c r="A146" s="313">
        <v>1313222920</v>
      </c>
      <c r="B146" s="313" t="s">
        <v>371</v>
      </c>
      <c r="C146" s="314">
        <v>272000</v>
      </c>
      <c r="D146" s="313">
        <v>272000</v>
      </c>
      <c r="E146" s="313">
        <v>211218.89</v>
      </c>
      <c r="F146" s="313">
        <v>-60781.11</v>
      </c>
      <c r="G146" s="313">
        <v>552633.9</v>
      </c>
      <c r="H146" s="313">
        <v>274688.40000000002</v>
      </c>
    </row>
    <row r="147" spans="1:8" x14ac:dyDescent="0.2">
      <c r="A147" s="313">
        <v>1313223920</v>
      </c>
      <c r="B147" s="313" t="s">
        <v>372</v>
      </c>
      <c r="C147" s="314">
        <v>262500</v>
      </c>
      <c r="D147" s="313">
        <v>262500</v>
      </c>
      <c r="E147" s="313">
        <v>265811.71999999997</v>
      </c>
      <c r="F147" s="313">
        <v>3311.72</v>
      </c>
      <c r="G147" s="313">
        <v>266912.40000000002</v>
      </c>
      <c r="H147" s="313">
        <v>262236.59999999998</v>
      </c>
    </row>
    <row r="148" spans="1:8" x14ac:dyDescent="0.2">
      <c r="A148" s="313">
        <v>1313300920</v>
      </c>
      <c r="B148" s="313" t="s">
        <v>373</v>
      </c>
      <c r="C148" s="314">
        <v>479429</v>
      </c>
      <c r="D148" s="313">
        <v>479429</v>
      </c>
      <c r="E148" s="313">
        <v>479204.31</v>
      </c>
      <c r="F148" s="313">
        <v>-224.69</v>
      </c>
      <c r="G148" s="313">
        <v>588327.18999999994</v>
      </c>
      <c r="H148" s="313">
        <v>562375.81000000006</v>
      </c>
    </row>
    <row r="149" spans="1:8" x14ac:dyDescent="0.2">
      <c r="A149" s="313">
        <v>1313304920</v>
      </c>
      <c r="B149" s="313" t="s">
        <v>374</v>
      </c>
      <c r="C149" s="314">
        <v>262910</v>
      </c>
      <c r="D149" s="313">
        <v>262910</v>
      </c>
      <c r="E149" s="313">
        <v>106254.82</v>
      </c>
      <c r="F149" s="313">
        <v>-156655.18</v>
      </c>
      <c r="G149" s="313">
        <v>160740.74</v>
      </c>
      <c r="H149" s="313">
        <v>332550.93</v>
      </c>
    </row>
    <row r="150" spans="1:8" x14ac:dyDescent="0.2">
      <c r="A150" s="313">
        <v>1313305920</v>
      </c>
      <c r="B150" s="313" t="s">
        <v>375</v>
      </c>
      <c r="C150" s="314">
        <v>708841</v>
      </c>
      <c r="D150" s="313">
        <v>708841</v>
      </c>
      <c r="E150" s="313">
        <v>276867.34000000003</v>
      </c>
      <c r="F150" s="313">
        <v>-431973.66</v>
      </c>
      <c r="G150" s="313">
        <v>391446.01</v>
      </c>
      <c r="H150" s="313">
        <v>1140938.82</v>
      </c>
    </row>
    <row r="151" spans="1:8" x14ac:dyDescent="0.2">
      <c r="A151" s="313">
        <v>1313313920</v>
      </c>
      <c r="B151" s="313" t="s">
        <v>376</v>
      </c>
      <c r="C151" s="314">
        <v>2150000</v>
      </c>
      <c r="D151" s="313">
        <v>2150000</v>
      </c>
      <c r="E151" s="313">
        <v>1796288.36</v>
      </c>
      <c r="F151" s="313">
        <v>-353711.64</v>
      </c>
      <c r="G151" s="313">
        <v>2090998.28</v>
      </c>
      <c r="H151" s="313">
        <v>1928298.09</v>
      </c>
    </row>
    <row r="152" spans="1:8" x14ac:dyDescent="0.2">
      <c r="A152" s="313">
        <v>1313330920</v>
      </c>
      <c r="B152" s="313" t="s">
        <v>378</v>
      </c>
      <c r="C152" s="314">
        <v>210125</v>
      </c>
      <c r="D152" s="313">
        <v>210125</v>
      </c>
      <c r="E152" s="313">
        <v>156699.5</v>
      </c>
      <c r="F152" s="313">
        <v>-53425.5</v>
      </c>
      <c r="G152" s="313">
        <v>315434.58</v>
      </c>
      <c r="H152" s="313">
        <v>223208.18</v>
      </c>
    </row>
    <row r="153" spans="1:8" x14ac:dyDescent="0.2">
      <c r="A153" s="313">
        <v>1313700920</v>
      </c>
      <c r="B153" s="313" t="s">
        <v>379</v>
      </c>
      <c r="C153" s="314">
        <v>4500</v>
      </c>
      <c r="D153" s="313">
        <v>4500</v>
      </c>
      <c r="E153" s="313">
        <v>4999</v>
      </c>
      <c r="F153" s="313">
        <v>499</v>
      </c>
      <c r="G153" s="313">
        <v>11521</v>
      </c>
      <c r="H153" s="313">
        <v>3606</v>
      </c>
    </row>
    <row r="154" spans="1:8" x14ac:dyDescent="0.2">
      <c r="A154" s="313">
        <v>1313704920</v>
      </c>
      <c r="B154" s="313" t="s">
        <v>380</v>
      </c>
      <c r="C154" s="314">
        <v>29900</v>
      </c>
      <c r="D154" s="313">
        <v>29900</v>
      </c>
      <c r="E154" s="313">
        <v>29245.08</v>
      </c>
      <c r="F154" s="313">
        <v>-654.91999999999996</v>
      </c>
      <c r="G154" s="313">
        <v>32392.959999999999</v>
      </c>
      <c r="H154" s="313">
        <v>29910.799999999999</v>
      </c>
    </row>
    <row r="155" spans="1:8" x14ac:dyDescent="0.2">
      <c r="A155" s="313">
        <v>1313705920</v>
      </c>
      <c r="B155" s="313" t="s">
        <v>381</v>
      </c>
      <c r="C155" s="314">
        <v>101000</v>
      </c>
      <c r="D155" s="313">
        <v>101000</v>
      </c>
      <c r="E155" s="313">
        <v>91813.14</v>
      </c>
      <c r="F155" s="313">
        <v>-9186.86</v>
      </c>
      <c r="G155" s="313">
        <v>101678.48</v>
      </c>
      <c r="H155" s="313">
        <v>101533</v>
      </c>
    </row>
    <row r="156" spans="1:8" x14ac:dyDescent="0.2">
      <c r="A156" s="313">
        <v>1317100920</v>
      </c>
      <c r="B156" s="313" t="s">
        <v>382</v>
      </c>
      <c r="C156" s="314">
        <v>180000</v>
      </c>
      <c r="D156" s="313">
        <v>180000</v>
      </c>
      <c r="E156" s="313">
        <v>106542.62</v>
      </c>
      <c r="F156" s="313">
        <v>-73457.38</v>
      </c>
      <c r="G156" s="313">
        <v>169787.15</v>
      </c>
      <c r="H156" s="313">
        <v>177645.39</v>
      </c>
    </row>
    <row r="157" spans="1:8" x14ac:dyDescent="0.2">
      <c r="A157" s="313">
        <v>1317100990</v>
      </c>
      <c r="B157" s="313" t="s">
        <v>493</v>
      </c>
      <c r="C157" s="314">
        <v>1479886</v>
      </c>
      <c r="D157" s="313">
        <v>1479886</v>
      </c>
      <c r="E157" s="313">
        <v>1550128.74</v>
      </c>
      <c r="F157" s="313">
        <v>70242.740000000005</v>
      </c>
      <c r="G157" s="313">
        <v>2011021.06</v>
      </c>
      <c r="H157" s="313">
        <v>1747700.49</v>
      </c>
    </row>
    <row r="158" spans="1:8" x14ac:dyDescent="0.2">
      <c r="A158" s="313">
        <v>1317200920</v>
      </c>
      <c r="B158" s="313" t="s">
        <v>383</v>
      </c>
      <c r="C158" s="314">
        <v>45800</v>
      </c>
      <c r="D158" s="313">
        <v>45800</v>
      </c>
      <c r="E158" s="313">
        <v>33810.5</v>
      </c>
      <c r="F158" s="313">
        <v>-11989.5</v>
      </c>
      <c r="G158" s="313">
        <v>99568</v>
      </c>
    </row>
    <row r="159" spans="1:8" x14ac:dyDescent="0.2">
      <c r="A159" s="313">
        <v>1317300920</v>
      </c>
      <c r="B159" s="313" t="s">
        <v>384</v>
      </c>
      <c r="C159" s="314">
        <v>1953214</v>
      </c>
      <c r="D159" s="313">
        <v>1953214</v>
      </c>
      <c r="E159" s="313">
        <v>1767393.25</v>
      </c>
      <c r="F159" s="313">
        <v>-185820.75</v>
      </c>
      <c r="G159" s="313">
        <v>1973760.76</v>
      </c>
      <c r="H159" s="313">
        <v>1865959.98</v>
      </c>
    </row>
    <row r="160" spans="1:8" x14ac:dyDescent="0.2">
      <c r="A160" s="313">
        <v>1317301920</v>
      </c>
      <c r="B160" s="313" t="s">
        <v>385</v>
      </c>
      <c r="C160" s="314">
        <v>60000</v>
      </c>
      <c r="D160" s="313">
        <v>60000</v>
      </c>
      <c r="E160" s="313">
        <v>0</v>
      </c>
      <c r="F160" s="313">
        <v>-60000</v>
      </c>
      <c r="G160" s="313">
        <v>93622.59</v>
      </c>
      <c r="H160" s="313">
        <v>61725.599999999999</v>
      </c>
    </row>
    <row r="161" spans="1:8" x14ac:dyDescent="0.2">
      <c r="A161" s="313">
        <v>1317600920</v>
      </c>
      <c r="B161" s="313" t="s">
        <v>1397</v>
      </c>
      <c r="C161" s="314">
        <v>1457443</v>
      </c>
      <c r="D161" s="313">
        <v>1457443</v>
      </c>
      <c r="E161" s="313">
        <v>555921</v>
      </c>
      <c r="F161" s="313">
        <v>-901522</v>
      </c>
      <c r="G161" s="313">
        <v>1296766.24</v>
      </c>
      <c r="H161" s="313">
        <v>1057047.79</v>
      </c>
    </row>
    <row r="162" spans="1:8" x14ac:dyDescent="0.2">
      <c r="A162" s="313">
        <v>1317700920</v>
      </c>
      <c r="B162" s="313" t="s">
        <v>387</v>
      </c>
      <c r="C162" s="314">
        <v>235000</v>
      </c>
      <c r="D162" s="313">
        <v>235000</v>
      </c>
      <c r="E162" s="313">
        <v>221298.95</v>
      </c>
      <c r="F162" s="313">
        <v>-13701.05</v>
      </c>
      <c r="G162" s="313">
        <v>232003.53</v>
      </c>
      <c r="H162" s="313">
        <v>228903.85</v>
      </c>
    </row>
    <row r="163" spans="1:8" x14ac:dyDescent="0.2">
      <c r="A163" s="313">
        <v>1317701920</v>
      </c>
      <c r="B163" s="313" t="s">
        <v>388</v>
      </c>
      <c r="C163" s="314">
        <v>475875</v>
      </c>
      <c r="D163" s="313">
        <v>475875</v>
      </c>
      <c r="E163" s="313">
        <v>381527.97</v>
      </c>
      <c r="F163" s="313">
        <v>-94347.03</v>
      </c>
      <c r="G163" s="313">
        <v>479768.79</v>
      </c>
      <c r="H163" s="313">
        <v>465215.46</v>
      </c>
    </row>
    <row r="164" spans="1:8" x14ac:dyDescent="0.2">
      <c r="A164" s="313">
        <v>1317702920</v>
      </c>
      <c r="B164" s="313" t="s">
        <v>389</v>
      </c>
      <c r="C164" s="314">
        <v>100000</v>
      </c>
      <c r="D164" s="313">
        <v>100000</v>
      </c>
      <c r="E164" s="313">
        <v>1837.5</v>
      </c>
      <c r="F164" s="313">
        <v>-98162.5</v>
      </c>
      <c r="G164" s="313">
        <v>918.75</v>
      </c>
      <c r="H164" s="313">
        <v>55123.7</v>
      </c>
    </row>
    <row r="165" spans="1:8" x14ac:dyDescent="0.2">
      <c r="A165" s="313">
        <v>1317800920</v>
      </c>
      <c r="B165" s="313" t="s">
        <v>390</v>
      </c>
      <c r="C165" s="314">
        <v>5550000</v>
      </c>
      <c r="D165" s="313">
        <v>5550000</v>
      </c>
      <c r="E165" s="313">
        <v>4072969.26</v>
      </c>
      <c r="F165" s="313">
        <v>-1477030.74</v>
      </c>
      <c r="G165" s="313">
        <v>6770834.5999999996</v>
      </c>
      <c r="H165" s="313">
        <v>6091848.4500000002</v>
      </c>
    </row>
    <row r="166" spans="1:8" x14ac:dyDescent="0.2">
      <c r="A166" s="313">
        <v>1317801920</v>
      </c>
      <c r="B166" s="313" t="s">
        <v>391</v>
      </c>
      <c r="C166" s="314">
        <v>2036160</v>
      </c>
      <c r="D166" s="313">
        <v>2036160</v>
      </c>
      <c r="E166" s="313">
        <v>1832083.36</v>
      </c>
      <c r="F166" s="313">
        <v>-204076.64</v>
      </c>
      <c r="G166" s="313">
        <v>2137054.4</v>
      </c>
      <c r="H166" s="313">
        <v>1813240.5</v>
      </c>
    </row>
    <row r="167" spans="1:8" x14ac:dyDescent="0.2">
      <c r="A167" s="313">
        <v>1317904920</v>
      </c>
      <c r="B167" s="313" t="s">
        <v>392</v>
      </c>
      <c r="C167" s="314">
        <v>105000</v>
      </c>
      <c r="D167" s="313">
        <v>105000</v>
      </c>
      <c r="E167" s="313">
        <v>89388.32</v>
      </c>
      <c r="F167" s="313">
        <v>-15611.68</v>
      </c>
      <c r="G167" s="313">
        <v>111433.81</v>
      </c>
      <c r="H167" s="313">
        <v>106238.06</v>
      </c>
    </row>
    <row r="168" spans="1:8" x14ac:dyDescent="0.2">
      <c r="A168" s="313">
        <v>1317905920</v>
      </c>
      <c r="B168" s="313" t="s">
        <v>393</v>
      </c>
      <c r="C168" s="314">
        <v>52000</v>
      </c>
      <c r="D168" s="313">
        <v>52000</v>
      </c>
      <c r="E168" s="313">
        <v>44498.95</v>
      </c>
      <c r="F168" s="313">
        <v>-7501.05</v>
      </c>
      <c r="G168" s="313">
        <v>55464.87</v>
      </c>
      <c r="H168" s="313">
        <v>52858.57</v>
      </c>
    </row>
    <row r="169" spans="1:8" x14ac:dyDescent="0.2">
      <c r="A169" s="313">
        <v>1317922920</v>
      </c>
      <c r="B169" s="313" t="s">
        <v>394</v>
      </c>
      <c r="C169" s="314">
        <v>26271</v>
      </c>
      <c r="D169" s="313">
        <v>26271</v>
      </c>
      <c r="F169" s="313">
        <v>-26271</v>
      </c>
      <c r="G169" s="313">
        <v>31136</v>
      </c>
      <c r="H169" s="313">
        <v>31136</v>
      </c>
    </row>
    <row r="170" spans="1:8" x14ac:dyDescent="0.2">
      <c r="A170" s="313">
        <v>1317951920</v>
      </c>
      <c r="B170" s="313" t="s">
        <v>395</v>
      </c>
      <c r="C170" s="314">
        <v>90000</v>
      </c>
      <c r="D170" s="313">
        <v>90000</v>
      </c>
      <c r="E170" s="313">
        <v>29999.97</v>
      </c>
      <c r="F170" s="313">
        <v>-60000.03</v>
      </c>
      <c r="G170" s="313">
        <v>186666.68</v>
      </c>
      <c r="H170" s="313">
        <v>103333.32</v>
      </c>
    </row>
    <row r="171" spans="1:8" x14ac:dyDescent="0.2">
      <c r="A171" s="313">
        <v>1317952920</v>
      </c>
      <c r="B171" s="313" t="s">
        <v>1149</v>
      </c>
      <c r="C171" s="314">
        <v>120320</v>
      </c>
      <c r="D171" s="313">
        <v>120320</v>
      </c>
      <c r="F171" s="313">
        <v>-120320</v>
      </c>
      <c r="G171" s="313">
        <v>118945</v>
      </c>
    </row>
    <row r="172" spans="1:8" x14ac:dyDescent="0.2">
      <c r="A172" s="313">
        <v>1317960920</v>
      </c>
      <c r="B172" s="313" t="s">
        <v>397</v>
      </c>
      <c r="C172" s="314">
        <v>350000</v>
      </c>
      <c r="D172" s="313">
        <v>350000</v>
      </c>
      <c r="E172" s="313">
        <v>306051</v>
      </c>
      <c r="F172" s="313">
        <v>-43949</v>
      </c>
      <c r="G172" s="313">
        <v>661947</v>
      </c>
      <c r="H172" s="313">
        <v>704</v>
      </c>
    </row>
    <row r="173" spans="1:8" x14ac:dyDescent="0.2">
      <c r="A173" s="313" t="s">
        <v>277</v>
      </c>
      <c r="B173" s="313" t="s">
        <v>361</v>
      </c>
      <c r="C173" s="314">
        <v>51868659</v>
      </c>
      <c r="D173" s="313">
        <v>51868659</v>
      </c>
      <c r="E173" s="313">
        <v>41070446.289999999</v>
      </c>
      <c r="F173" s="313">
        <v>-10798212.710000001</v>
      </c>
      <c r="G173" s="313">
        <v>54675107.350000001</v>
      </c>
      <c r="H173" s="313">
        <v>46998964.390000001</v>
      </c>
    </row>
    <row r="174" spans="1:8" x14ac:dyDescent="0.2">
      <c r="A174" s="313" t="s">
        <v>399</v>
      </c>
      <c r="B174" s="313" t="s">
        <v>400</v>
      </c>
    </row>
    <row r="175" spans="1:8" x14ac:dyDescent="0.2">
      <c r="A175" s="313">
        <v>1341000930</v>
      </c>
      <c r="B175" s="313" t="s">
        <v>401</v>
      </c>
      <c r="C175" s="314">
        <v>6240000</v>
      </c>
      <c r="D175" s="313">
        <v>6240000</v>
      </c>
      <c r="E175" s="313">
        <v>5815898</v>
      </c>
      <c r="F175" s="313">
        <v>-424102</v>
      </c>
      <c r="G175" s="313">
        <v>6141779</v>
      </c>
      <c r="H175" s="313">
        <v>5692885</v>
      </c>
    </row>
    <row r="176" spans="1:8" x14ac:dyDescent="0.2">
      <c r="A176" s="313">
        <v>1341000933</v>
      </c>
      <c r="B176" s="313" t="s">
        <v>402</v>
      </c>
      <c r="C176" s="314">
        <v>15000</v>
      </c>
      <c r="D176" s="313">
        <v>15000</v>
      </c>
      <c r="F176" s="313">
        <v>-15000</v>
      </c>
    </row>
    <row r="177" spans="1:8" x14ac:dyDescent="0.2">
      <c r="A177" s="313">
        <v>1341000934</v>
      </c>
      <c r="B177" s="313" t="s">
        <v>403</v>
      </c>
      <c r="C177" s="314">
        <v>106800</v>
      </c>
      <c r="D177" s="313">
        <v>106800</v>
      </c>
      <c r="E177" s="313">
        <v>104704</v>
      </c>
      <c r="F177" s="313">
        <v>-2096</v>
      </c>
      <c r="G177" s="313">
        <v>105110</v>
      </c>
      <c r="H177" s="313">
        <v>103403</v>
      </c>
    </row>
    <row r="178" spans="1:8" x14ac:dyDescent="0.2">
      <c r="A178" s="313">
        <v>1341000935</v>
      </c>
      <c r="B178" s="313" t="s">
        <v>1404</v>
      </c>
      <c r="C178" s="314">
        <v>22500</v>
      </c>
      <c r="D178" s="313">
        <v>22500</v>
      </c>
      <c r="F178" s="313">
        <v>-22500</v>
      </c>
    </row>
    <row r="179" spans="1:8" x14ac:dyDescent="0.2">
      <c r="A179" s="313">
        <v>1341000936</v>
      </c>
      <c r="B179" s="313" t="s">
        <v>404</v>
      </c>
      <c r="C179" s="314">
        <v>7500</v>
      </c>
      <c r="D179" s="313">
        <v>7500</v>
      </c>
      <c r="F179" s="313">
        <v>-7500</v>
      </c>
      <c r="G179" s="313">
        <v>33255</v>
      </c>
      <c r="H179" s="313">
        <v>21525</v>
      </c>
    </row>
    <row r="180" spans="1:8" x14ac:dyDescent="0.2">
      <c r="A180" s="313">
        <v>1341000937</v>
      </c>
      <c r="B180" s="313" t="s">
        <v>405</v>
      </c>
      <c r="C180" s="314">
        <v>20000</v>
      </c>
      <c r="D180" s="313">
        <v>20000</v>
      </c>
      <c r="E180" s="313">
        <v>7449</v>
      </c>
      <c r="F180" s="313">
        <v>-12551</v>
      </c>
      <c r="G180" s="313">
        <v>29918</v>
      </c>
      <c r="H180" s="313">
        <v>15371</v>
      </c>
    </row>
    <row r="181" spans="1:8" x14ac:dyDescent="0.2">
      <c r="A181" s="313">
        <v>1341000938</v>
      </c>
      <c r="B181" s="313" t="s">
        <v>1487</v>
      </c>
      <c r="C181" s="314">
        <v>228123</v>
      </c>
      <c r="D181" s="313">
        <v>228123</v>
      </c>
      <c r="E181" s="313">
        <v>137513</v>
      </c>
      <c r="F181" s="313">
        <v>-90610</v>
      </c>
      <c r="G181" s="313">
        <v>202923</v>
      </c>
      <c r="H181" s="313">
        <v>136206</v>
      </c>
    </row>
    <row r="182" spans="1:8" x14ac:dyDescent="0.2">
      <c r="A182" s="313">
        <v>1341000939</v>
      </c>
      <c r="B182" s="313" t="s">
        <v>1591</v>
      </c>
      <c r="G182" s="313">
        <v>0</v>
      </c>
      <c r="H182" s="313">
        <v>42480</v>
      </c>
    </row>
    <row r="183" spans="1:8" x14ac:dyDescent="0.2">
      <c r="A183" s="313">
        <v>1342200930</v>
      </c>
      <c r="B183" s="313" t="s">
        <v>406</v>
      </c>
      <c r="C183" s="314">
        <v>105000</v>
      </c>
      <c r="D183" s="313">
        <v>105000</v>
      </c>
      <c r="E183" s="313">
        <v>93413</v>
      </c>
      <c r="F183" s="313">
        <v>-11587</v>
      </c>
      <c r="G183" s="313">
        <v>124682</v>
      </c>
      <c r="H183" s="313">
        <v>121073</v>
      </c>
    </row>
    <row r="184" spans="1:8" x14ac:dyDescent="0.2">
      <c r="A184" s="313">
        <v>1342200933</v>
      </c>
      <c r="B184" s="313" t="s">
        <v>407</v>
      </c>
      <c r="C184" s="314">
        <v>112000</v>
      </c>
      <c r="D184" s="313">
        <v>112000</v>
      </c>
      <c r="E184" s="313">
        <v>95913</v>
      </c>
      <c r="F184" s="313">
        <v>-16087</v>
      </c>
      <c r="G184" s="313">
        <v>90725</v>
      </c>
      <c r="H184" s="313">
        <v>131457</v>
      </c>
    </row>
    <row r="185" spans="1:8" x14ac:dyDescent="0.2">
      <c r="A185" s="313">
        <v>1342200934</v>
      </c>
      <c r="B185" s="313" t="s">
        <v>408</v>
      </c>
      <c r="C185" s="314">
        <v>20700</v>
      </c>
      <c r="D185" s="313">
        <v>20700</v>
      </c>
      <c r="E185" s="313">
        <v>41665</v>
      </c>
      <c r="F185" s="313">
        <v>20965</v>
      </c>
      <c r="G185" s="313">
        <v>6843</v>
      </c>
      <c r="H185" s="313">
        <v>14336</v>
      </c>
    </row>
    <row r="186" spans="1:8" x14ac:dyDescent="0.2">
      <c r="A186" s="313">
        <v>1342200936</v>
      </c>
      <c r="B186" s="313" t="s">
        <v>409</v>
      </c>
      <c r="C186" s="314">
        <v>142626</v>
      </c>
      <c r="D186" s="313">
        <v>142626</v>
      </c>
      <c r="E186" s="313">
        <v>1089</v>
      </c>
      <c r="F186" s="313">
        <v>-141537</v>
      </c>
      <c r="G186" s="313">
        <v>225980</v>
      </c>
      <c r="H186" s="313">
        <v>-22279</v>
      </c>
    </row>
    <row r="187" spans="1:8" x14ac:dyDescent="0.2">
      <c r="A187" s="313">
        <v>1342200937</v>
      </c>
      <c r="B187" s="313" t="s">
        <v>1485</v>
      </c>
      <c r="E187" s="313">
        <v>1977</v>
      </c>
      <c r="F187" s="313">
        <v>1977</v>
      </c>
      <c r="H187" s="313">
        <v>3286</v>
      </c>
    </row>
    <row r="188" spans="1:8" x14ac:dyDescent="0.2">
      <c r="A188" s="313">
        <v>1342400931</v>
      </c>
      <c r="B188" s="313" t="s">
        <v>410</v>
      </c>
      <c r="C188" s="314">
        <v>7200</v>
      </c>
      <c r="D188" s="313">
        <v>7200</v>
      </c>
      <c r="E188" s="313">
        <v>29605</v>
      </c>
      <c r="F188" s="313">
        <v>22405</v>
      </c>
      <c r="G188" s="313">
        <v>26177</v>
      </c>
    </row>
    <row r="189" spans="1:8" x14ac:dyDescent="0.2">
      <c r="A189" s="313">
        <v>1342400935</v>
      </c>
      <c r="B189" s="313" t="s">
        <v>411</v>
      </c>
      <c r="C189" s="314">
        <v>92250</v>
      </c>
      <c r="D189" s="313">
        <v>92250</v>
      </c>
      <c r="E189" s="313">
        <v>91663</v>
      </c>
      <c r="F189" s="313">
        <v>-587</v>
      </c>
      <c r="G189" s="313">
        <v>90092</v>
      </c>
      <c r="H189" s="313">
        <v>57941</v>
      </c>
    </row>
    <row r="190" spans="1:8" x14ac:dyDescent="0.2">
      <c r="A190" s="313">
        <v>1342400937</v>
      </c>
      <c r="B190" s="313" t="s">
        <v>1592</v>
      </c>
      <c r="E190" s="313">
        <v>2028</v>
      </c>
      <c r="F190" s="313">
        <v>2028</v>
      </c>
      <c r="G190" s="313">
        <v>3697</v>
      </c>
    </row>
    <row r="191" spans="1:8" x14ac:dyDescent="0.2">
      <c r="A191" s="313">
        <v>1342401930</v>
      </c>
      <c r="B191" s="313" t="s">
        <v>412</v>
      </c>
      <c r="C191" s="314">
        <v>145800</v>
      </c>
      <c r="D191" s="313">
        <v>145800</v>
      </c>
      <c r="E191" s="313">
        <v>80000</v>
      </c>
      <c r="F191" s="313">
        <v>-65800</v>
      </c>
      <c r="G191" s="313">
        <v>162000</v>
      </c>
      <c r="H191" s="313">
        <v>162000</v>
      </c>
    </row>
    <row r="192" spans="1:8" x14ac:dyDescent="0.2">
      <c r="A192" s="313">
        <v>1342401931</v>
      </c>
      <c r="B192" s="313" t="s">
        <v>1549</v>
      </c>
      <c r="C192" s="314">
        <v>207000</v>
      </c>
      <c r="D192" s="313">
        <v>207000</v>
      </c>
      <c r="E192" s="313">
        <v>253933</v>
      </c>
      <c r="F192" s="313">
        <v>46933</v>
      </c>
      <c r="G192" s="313">
        <v>235891</v>
      </c>
      <c r="H192" s="313">
        <v>22067</v>
      </c>
    </row>
    <row r="193" spans="1:8" x14ac:dyDescent="0.2">
      <c r="A193" s="313">
        <v>1343500931</v>
      </c>
      <c r="B193" s="313" t="s">
        <v>413</v>
      </c>
      <c r="C193" s="314">
        <v>213976</v>
      </c>
      <c r="D193" s="313">
        <v>213976</v>
      </c>
      <c r="E193" s="313">
        <v>151916</v>
      </c>
      <c r="F193" s="313">
        <v>-62060</v>
      </c>
      <c r="G193" s="313">
        <v>199805</v>
      </c>
      <c r="H193" s="313">
        <v>190577</v>
      </c>
    </row>
    <row r="194" spans="1:8" x14ac:dyDescent="0.2">
      <c r="A194" s="313">
        <v>1343500932</v>
      </c>
      <c r="B194" s="313" t="s">
        <v>414</v>
      </c>
      <c r="C194" s="314">
        <v>381684</v>
      </c>
      <c r="D194" s="313">
        <v>381684</v>
      </c>
      <c r="E194" s="313">
        <v>450442</v>
      </c>
      <c r="F194" s="313">
        <v>68758</v>
      </c>
      <c r="G194" s="313">
        <v>449950</v>
      </c>
      <c r="H194" s="313">
        <v>526920</v>
      </c>
    </row>
    <row r="195" spans="1:8" x14ac:dyDescent="0.2">
      <c r="A195" s="313">
        <v>1343500934</v>
      </c>
      <c r="B195" s="313" t="s">
        <v>415</v>
      </c>
      <c r="C195" s="314">
        <v>302292</v>
      </c>
      <c r="D195" s="313">
        <v>302292</v>
      </c>
      <c r="E195" s="313">
        <v>293086</v>
      </c>
      <c r="F195" s="313">
        <v>-9206</v>
      </c>
      <c r="G195" s="313">
        <v>322384</v>
      </c>
      <c r="H195" s="313">
        <v>282606</v>
      </c>
    </row>
    <row r="196" spans="1:8" x14ac:dyDescent="0.2">
      <c r="A196" s="313">
        <v>1343500935</v>
      </c>
      <c r="B196" s="313" t="s">
        <v>416</v>
      </c>
      <c r="C196" s="314">
        <v>78750</v>
      </c>
      <c r="D196" s="313">
        <v>78750</v>
      </c>
      <c r="E196" s="313">
        <v>67664</v>
      </c>
      <c r="F196" s="313">
        <v>-11086</v>
      </c>
      <c r="G196" s="313">
        <v>72937</v>
      </c>
      <c r="H196" s="313">
        <v>109539</v>
      </c>
    </row>
    <row r="197" spans="1:8" x14ac:dyDescent="0.2">
      <c r="A197" s="313">
        <v>1343500937</v>
      </c>
      <c r="B197" s="313" t="s">
        <v>417</v>
      </c>
      <c r="C197" s="314">
        <v>29000</v>
      </c>
      <c r="D197" s="313">
        <v>29000</v>
      </c>
      <c r="E197" s="313">
        <v>33946</v>
      </c>
      <c r="F197" s="313">
        <v>4946</v>
      </c>
      <c r="G197" s="313">
        <v>101498</v>
      </c>
      <c r="H197" s="313">
        <v>33178</v>
      </c>
    </row>
    <row r="198" spans="1:8" x14ac:dyDescent="0.2">
      <c r="A198" s="313">
        <v>1343500939</v>
      </c>
      <c r="B198" s="313" t="s">
        <v>418</v>
      </c>
      <c r="C198" s="314">
        <v>88500</v>
      </c>
      <c r="D198" s="313">
        <v>88500</v>
      </c>
      <c r="E198" s="313">
        <v>126119</v>
      </c>
      <c r="F198" s="313">
        <v>37619</v>
      </c>
      <c r="G198" s="313">
        <v>105977</v>
      </c>
      <c r="H198" s="313">
        <v>82136</v>
      </c>
    </row>
    <row r="199" spans="1:8" x14ac:dyDescent="0.2">
      <c r="A199" s="313">
        <v>1343500940</v>
      </c>
      <c r="B199" s="313" t="s">
        <v>58</v>
      </c>
      <c r="C199" s="314">
        <v>3750</v>
      </c>
      <c r="D199" s="313">
        <v>3750</v>
      </c>
      <c r="F199" s="313">
        <v>-3750</v>
      </c>
      <c r="G199" s="313">
        <v>6900</v>
      </c>
      <c r="H199" s="313">
        <v>9000</v>
      </c>
    </row>
    <row r="200" spans="1:8" x14ac:dyDescent="0.2">
      <c r="A200" s="313">
        <v>1343500941</v>
      </c>
      <c r="B200" s="313" t="s">
        <v>1593</v>
      </c>
      <c r="C200" s="314">
        <v>3750</v>
      </c>
      <c r="D200" s="313">
        <v>3750</v>
      </c>
      <c r="F200" s="313">
        <v>-3750</v>
      </c>
    </row>
    <row r="201" spans="1:8" x14ac:dyDescent="0.2">
      <c r="A201" s="313">
        <v>1343800930</v>
      </c>
      <c r="B201" s="313" t="s">
        <v>419</v>
      </c>
      <c r="C201" s="314">
        <v>3811844</v>
      </c>
      <c r="D201" s="313">
        <v>3811844</v>
      </c>
      <c r="E201" s="313">
        <v>2991988</v>
      </c>
      <c r="F201" s="313">
        <v>-819856</v>
      </c>
      <c r="G201" s="313">
        <v>3883699</v>
      </c>
      <c r="H201" s="313">
        <v>3676861</v>
      </c>
    </row>
    <row r="202" spans="1:8" x14ac:dyDescent="0.2">
      <c r="A202" s="313">
        <v>1343800935</v>
      </c>
      <c r="B202" s="313" t="s">
        <v>420</v>
      </c>
      <c r="C202" s="314">
        <v>302130</v>
      </c>
      <c r="D202" s="313">
        <v>302130</v>
      </c>
      <c r="E202" s="313">
        <v>176191</v>
      </c>
      <c r="F202" s="313">
        <v>-125939</v>
      </c>
      <c r="G202" s="313">
        <v>234563</v>
      </c>
      <c r="H202" s="313">
        <v>230864</v>
      </c>
    </row>
    <row r="203" spans="1:8" x14ac:dyDescent="0.2">
      <c r="A203" s="313">
        <v>1343900930</v>
      </c>
      <c r="B203" s="313" t="s">
        <v>421</v>
      </c>
      <c r="C203" s="314">
        <v>2376000</v>
      </c>
      <c r="D203" s="313">
        <v>2376000</v>
      </c>
      <c r="E203" s="313">
        <v>1937733</v>
      </c>
      <c r="F203" s="313">
        <v>-438267</v>
      </c>
      <c r="G203" s="313">
        <v>2170190</v>
      </c>
      <c r="H203" s="313">
        <v>2096951</v>
      </c>
    </row>
    <row r="204" spans="1:8" x14ac:dyDescent="0.2">
      <c r="A204" s="313">
        <v>1344300930</v>
      </c>
      <c r="B204" s="313" t="s">
        <v>300</v>
      </c>
      <c r="C204" s="314">
        <v>3974930</v>
      </c>
      <c r="D204" s="313">
        <v>3974930</v>
      </c>
      <c r="E204" s="313">
        <v>3262564</v>
      </c>
      <c r="F204" s="313">
        <v>-712366</v>
      </c>
      <c r="G204" s="313">
        <v>3939346</v>
      </c>
      <c r="H204" s="313">
        <v>3597547</v>
      </c>
    </row>
    <row r="205" spans="1:8" x14ac:dyDescent="0.2">
      <c r="A205" s="313">
        <v>1344300932</v>
      </c>
      <c r="B205" s="313" t="s">
        <v>59</v>
      </c>
      <c r="G205" s="313">
        <v>9281</v>
      </c>
    </row>
    <row r="206" spans="1:8" x14ac:dyDescent="0.2">
      <c r="A206" s="313">
        <v>1344400931</v>
      </c>
      <c r="B206" s="313" t="s">
        <v>422</v>
      </c>
      <c r="C206" s="314">
        <v>100000</v>
      </c>
      <c r="D206" s="313">
        <v>100000</v>
      </c>
      <c r="E206" s="313">
        <v>65962</v>
      </c>
      <c r="F206" s="313">
        <v>-34038</v>
      </c>
      <c r="G206" s="313">
        <v>89349</v>
      </c>
      <c r="H206" s="313">
        <v>96816</v>
      </c>
    </row>
    <row r="207" spans="1:8" x14ac:dyDescent="0.2">
      <c r="A207" s="313">
        <v>1344400932</v>
      </c>
      <c r="B207" s="313" t="s">
        <v>423</v>
      </c>
      <c r="C207" s="314">
        <v>132750</v>
      </c>
      <c r="D207" s="313">
        <v>132750</v>
      </c>
      <c r="E207" s="313">
        <v>78051</v>
      </c>
      <c r="F207" s="313">
        <v>-54699</v>
      </c>
      <c r="G207" s="313">
        <v>134898</v>
      </c>
      <c r="H207" s="313">
        <v>132822</v>
      </c>
    </row>
    <row r="208" spans="1:8" x14ac:dyDescent="0.2">
      <c r="A208" s="313">
        <v>1344400933</v>
      </c>
      <c r="B208" s="313" t="s">
        <v>1194</v>
      </c>
      <c r="H208" s="313">
        <v>-2725</v>
      </c>
    </row>
    <row r="209" spans="1:8" x14ac:dyDescent="0.2">
      <c r="A209" s="313">
        <v>1344400934</v>
      </c>
      <c r="B209" s="313" t="s">
        <v>424</v>
      </c>
      <c r="C209" s="314">
        <v>231600</v>
      </c>
      <c r="D209" s="313">
        <v>231600</v>
      </c>
      <c r="E209" s="313">
        <v>206718</v>
      </c>
      <c r="F209" s="313">
        <v>-24882</v>
      </c>
      <c r="G209" s="313">
        <v>218025</v>
      </c>
      <c r="H209" s="313">
        <v>295793</v>
      </c>
    </row>
    <row r="210" spans="1:8" x14ac:dyDescent="0.2">
      <c r="A210" s="313">
        <v>1344400935</v>
      </c>
      <c r="B210" s="313" t="s">
        <v>425</v>
      </c>
      <c r="C210" s="314">
        <v>15000</v>
      </c>
      <c r="D210" s="313">
        <v>15000</v>
      </c>
      <c r="E210" s="313">
        <v>14509</v>
      </c>
      <c r="F210" s="313">
        <v>-491</v>
      </c>
      <c r="G210" s="313">
        <v>13721</v>
      </c>
      <c r="H210" s="313">
        <v>12825</v>
      </c>
    </row>
    <row r="211" spans="1:8" x14ac:dyDescent="0.2">
      <c r="A211" s="313">
        <v>1344400936</v>
      </c>
      <c r="B211" s="313" t="s">
        <v>60</v>
      </c>
      <c r="H211" s="313">
        <v>-450</v>
      </c>
    </row>
    <row r="212" spans="1:8" x14ac:dyDescent="0.2">
      <c r="A212" s="313">
        <v>1344400939</v>
      </c>
      <c r="B212" s="313" t="s">
        <v>426</v>
      </c>
      <c r="C212" s="314">
        <v>216000</v>
      </c>
      <c r="D212" s="313">
        <v>216000</v>
      </c>
      <c r="E212" s="313">
        <v>95537</v>
      </c>
      <c r="F212" s="313">
        <v>-120463</v>
      </c>
      <c r="G212" s="313">
        <v>273077</v>
      </c>
      <c r="H212" s="313">
        <v>205987</v>
      </c>
    </row>
    <row r="213" spans="1:8" x14ac:dyDescent="0.2">
      <c r="A213" s="313">
        <v>1344400940</v>
      </c>
      <c r="B213" s="313" t="s">
        <v>1482</v>
      </c>
      <c r="C213" s="314">
        <v>60000</v>
      </c>
      <c r="D213" s="313">
        <v>60000</v>
      </c>
      <c r="F213" s="313">
        <v>-60000</v>
      </c>
    </row>
    <row r="214" spans="1:8" x14ac:dyDescent="0.2">
      <c r="A214" s="313">
        <v>1344400941</v>
      </c>
      <c r="B214" s="313" t="s">
        <v>1594</v>
      </c>
      <c r="E214" s="313">
        <v>49998</v>
      </c>
      <c r="F214" s="313">
        <v>49998</v>
      </c>
      <c r="G214" s="313">
        <v>28581</v>
      </c>
      <c r="H214" s="313">
        <v>65441</v>
      </c>
    </row>
    <row r="215" spans="1:8" x14ac:dyDescent="0.2">
      <c r="A215" s="313">
        <v>1344400942</v>
      </c>
      <c r="B215" s="313" t="s">
        <v>1722</v>
      </c>
      <c r="E215" s="313">
        <v>124996</v>
      </c>
      <c r="F215" s="313">
        <v>124996</v>
      </c>
      <c r="G215" s="313">
        <v>10564</v>
      </c>
    </row>
    <row r="216" spans="1:8" x14ac:dyDescent="0.2">
      <c r="A216" s="313">
        <v>1344400943</v>
      </c>
      <c r="B216" s="313" t="s">
        <v>1951</v>
      </c>
      <c r="E216" s="313">
        <v>89163</v>
      </c>
      <c r="F216" s="313">
        <v>89163</v>
      </c>
    </row>
    <row r="217" spans="1:8" x14ac:dyDescent="0.2">
      <c r="A217" s="313">
        <v>1344500930</v>
      </c>
      <c r="B217" s="313" t="s">
        <v>427</v>
      </c>
      <c r="C217" s="314">
        <v>431424</v>
      </c>
      <c r="D217" s="313">
        <v>431424</v>
      </c>
      <c r="E217" s="313">
        <v>224316</v>
      </c>
      <c r="F217" s="313">
        <v>-207108</v>
      </c>
      <c r="G217" s="313">
        <v>371527</v>
      </c>
      <c r="H217" s="313">
        <v>374317</v>
      </c>
    </row>
    <row r="218" spans="1:8" x14ac:dyDescent="0.2">
      <c r="A218" s="313">
        <v>1344500934</v>
      </c>
      <c r="B218" s="313" t="s">
        <v>1650</v>
      </c>
      <c r="C218" s="314">
        <v>170250</v>
      </c>
      <c r="D218" s="313">
        <v>170250</v>
      </c>
      <c r="E218" s="313">
        <v>147145</v>
      </c>
      <c r="F218" s="313">
        <v>-23105</v>
      </c>
      <c r="G218" s="313">
        <v>199516</v>
      </c>
      <c r="H218" s="313">
        <v>196196</v>
      </c>
    </row>
    <row r="219" spans="1:8" x14ac:dyDescent="0.2">
      <c r="A219" s="313">
        <v>1344500935</v>
      </c>
      <c r="B219" s="313" t="s">
        <v>1649</v>
      </c>
      <c r="C219" s="314">
        <v>252000</v>
      </c>
      <c r="D219" s="313">
        <v>252000</v>
      </c>
      <c r="E219" s="313">
        <v>194692</v>
      </c>
      <c r="F219" s="313">
        <v>-57308</v>
      </c>
      <c r="G219" s="313">
        <v>113796</v>
      </c>
    </row>
    <row r="220" spans="1:8" x14ac:dyDescent="0.2">
      <c r="A220" s="313">
        <v>1345100932</v>
      </c>
      <c r="B220" s="313" t="s">
        <v>431</v>
      </c>
      <c r="C220" s="314">
        <v>1004220</v>
      </c>
      <c r="D220" s="313">
        <v>1004220</v>
      </c>
      <c r="E220" s="313">
        <v>852616</v>
      </c>
      <c r="F220" s="313">
        <v>-151604</v>
      </c>
      <c r="G220" s="313">
        <v>994098</v>
      </c>
      <c r="H220" s="313">
        <v>827931</v>
      </c>
    </row>
    <row r="221" spans="1:8" x14ac:dyDescent="0.2">
      <c r="A221" s="313">
        <v>1345100933</v>
      </c>
      <c r="B221" s="313" t="s">
        <v>432</v>
      </c>
      <c r="C221" s="314">
        <v>32747</v>
      </c>
      <c r="D221" s="313">
        <v>32747</v>
      </c>
      <c r="E221" s="313">
        <v>67374</v>
      </c>
      <c r="F221" s="313">
        <v>34627</v>
      </c>
      <c r="G221" s="313">
        <v>31031</v>
      </c>
      <c r="H221" s="313">
        <v>20833</v>
      </c>
    </row>
    <row r="222" spans="1:8" x14ac:dyDescent="0.2">
      <c r="A222" s="313">
        <v>1345100934</v>
      </c>
      <c r="B222" s="313" t="s">
        <v>1196</v>
      </c>
      <c r="C222" s="314">
        <v>12000</v>
      </c>
      <c r="D222" s="313">
        <v>12000</v>
      </c>
      <c r="E222" s="313">
        <v>4053</v>
      </c>
      <c r="F222" s="313">
        <v>-7947</v>
      </c>
      <c r="G222" s="313">
        <v>3008</v>
      </c>
      <c r="H222" s="313">
        <v>10557</v>
      </c>
    </row>
    <row r="223" spans="1:8" x14ac:dyDescent="0.2">
      <c r="A223" s="313">
        <v>1345100935</v>
      </c>
      <c r="B223" s="313" t="s">
        <v>433</v>
      </c>
      <c r="C223" s="314">
        <v>21190</v>
      </c>
      <c r="D223" s="313">
        <v>21190</v>
      </c>
      <c r="E223" s="313">
        <v>12340</v>
      </c>
      <c r="F223" s="313">
        <v>-8850</v>
      </c>
      <c r="G223" s="313">
        <v>16576</v>
      </c>
      <c r="H223" s="313">
        <v>21183</v>
      </c>
    </row>
    <row r="224" spans="1:8" x14ac:dyDescent="0.2">
      <c r="A224" s="313">
        <v>1345100936</v>
      </c>
      <c r="B224" s="313" t="s">
        <v>434</v>
      </c>
      <c r="C224" s="314">
        <v>169110</v>
      </c>
      <c r="D224" s="313">
        <v>169110</v>
      </c>
      <c r="E224" s="313">
        <v>69872</v>
      </c>
      <c r="F224" s="313">
        <v>-99238</v>
      </c>
      <c r="G224" s="313">
        <v>168489</v>
      </c>
      <c r="H224" s="313">
        <v>100190</v>
      </c>
    </row>
    <row r="225" spans="1:8" x14ac:dyDescent="0.2">
      <c r="A225" s="313">
        <v>1345100938</v>
      </c>
      <c r="B225" s="313" t="s">
        <v>1412</v>
      </c>
      <c r="E225" s="313">
        <v>33833</v>
      </c>
      <c r="F225" s="313">
        <v>33833</v>
      </c>
      <c r="G225" s="313">
        <v>45195</v>
      </c>
      <c r="H225" s="313">
        <v>32029</v>
      </c>
    </row>
    <row r="226" spans="1:8" x14ac:dyDescent="0.2">
      <c r="A226" s="313">
        <v>1345100939</v>
      </c>
      <c r="B226" s="313" t="s">
        <v>1413</v>
      </c>
      <c r="C226" s="314">
        <v>36000</v>
      </c>
      <c r="D226" s="313">
        <v>36000</v>
      </c>
      <c r="E226" s="313">
        <v>15375</v>
      </c>
      <c r="F226" s="313">
        <v>-20625</v>
      </c>
      <c r="G226" s="313">
        <v>34520</v>
      </c>
      <c r="H226" s="313">
        <v>18857</v>
      </c>
    </row>
    <row r="227" spans="1:8" x14ac:dyDescent="0.2">
      <c r="A227" s="313">
        <v>1345100940</v>
      </c>
      <c r="B227" s="313" t="s">
        <v>61</v>
      </c>
      <c r="C227" s="314">
        <v>9372600</v>
      </c>
      <c r="D227" s="313">
        <v>9372600</v>
      </c>
      <c r="E227" s="313">
        <v>7731975</v>
      </c>
      <c r="F227" s="313">
        <v>-1640625</v>
      </c>
      <c r="G227" s="313">
        <v>9058677</v>
      </c>
      <c r="H227" s="313">
        <v>8927661</v>
      </c>
    </row>
    <row r="228" spans="1:8" x14ac:dyDescent="0.2">
      <c r="A228" s="313">
        <v>1345100941</v>
      </c>
      <c r="B228" s="313" t="s">
        <v>62</v>
      </c>
      <c r="C228" s="314">
        <v>2394000</v>
      </c>
      <c r="D228" s="313">
        <v>2394000</v>
      </c>
      <c r="F228" s="313">
        <v>-2394000</v>
      </c>
      <c r="G228" s="313">
        <v>2470582</v>
      </c>
      <c r="H228" s="313">
        <v>2483453</v>
      </c>
    </row>
    <row r="229" spans="1:8" x14ac:dyDescent="0.2">
      <c r="A229" s="313">
        <v>1345100942</v>
      </c>
      <c r="B229" s="313" t="s">
        <v>1480</v>
      </c>
      <c r="C229" s="314">
        <v>108852</v>
      </c>
      <c r="D229" s="313">
        <v>108852</v>
      </c>
      <c r="E229" s="313">
        <v>66294</v>
      </c>
      <c r="F229" s="313">
        <v>-42558</v>
      </c>
      <c r="G229" s="313">
        <v>55935</v>
      </c>
      <c r="H229" s="313">
        <v>21488</v>
      </c>
    </row>
    <row r="230" spans="1:8" x14ac:dyDescent="0.2">
      <c r="A230" s="313">
        <v>1345100943</v>
      </c>
      <c r="B230" s="313" t="s">
        <v>1952</v>
      </c>
      <c r="E230" s="313">
        <v>1916269</v>
      </c>
      <c r="F230" s="313">
        <v>1916269</v>
      </c>
    </row>
    <row r="231" spans="1:8" x14ac:dyDescent="0.2">
      <c r="A231" s="313">
        <v>1345200932</v>
      </c>
      <c r="B231" s="313" t="s">
        <v>437</v>
      </c>
      <c r="C231" s="314">
        <v>460110</v>
      </c>
      <c r="D231" s="313">
        <v>460110</v>
      </c>
      <c r="E231" s="313">
        <v>352771</v>
      </c>
      <c r="F231" s="313">
        <v>-107339</v>
      </c>
      <c r="G231" s="313">
        <v>425215</v>
      </c>
      <c r="H231" s="313">
        <v>489233</v>
      </c>
    </row>
    <row r="232" spans="1:8" x14ac:dyDescent="0.2">
      <c r="A232" s="313">
        <v>1345200936</v>
      </c>
      <c r="B232" s="313" t="s">
        <v>63</v>
      </c>
      <c r="H232" s="313">
        <v>22066</v>
      </c>
    </row>
    <row r="233" spans="1:8" x14ac:dyDescent="0.2">
      <c r="A233" s="313">
        <v>1345200937</v>
      </c>
      <c r="B233" s="313" t="s">
        <v>64</v>
      </c>
      <c r="C233" s="314">
        <v>989109</v>
      </c>
      <c r="D233" s="313">
        <v>989109</v>
      </c>
      <c r="E233" s="313">
        <v>834667</v>
      </c>
      <c r="F233" s="313">
        <v>-154442</v>
      </c>
      <c r="G233" s="313">
        <v>913069</v>
      </c>
      <c r="H233" s="313">
        <v>712423</v>
      </c>
    </row>
    <row r="234" spans="1:8" x14ac:dyDescent="0.2">
      <c r="A234" s="313">
        <v>1345300930</v>
      </c>
      <c r="B234" s="313" t="s">
        <v>298</v>
      </c>
      <c r="E234" s="313">
        <v>6168.71</v>
      </c>
      <c r="F234" s="313">
        <v>6168.71</v>
      </c>
      <c r="G234" s="313">
        <v>6297.5</v>
      </c>
      <c r="H234" s="313">
        <v>5825</v>
      </c>
    </row>
    <row r="235" spans="1:8" x14ac:dyDescent="0.2">
      <c r="A235" s="313">
        <v>1345300931</v>
      </c>
      <c r="B235" s="313" t="s">
        <v>439</v>
      </c>
      <c r="C235" s="314">
        <v>12525</v>
      </c>
      <c r="D235" s="313">
        <v>12525</v>
      </c>
      <c r="E235" s="313">
        <v>13159</v>
      </c>
      <c r="F235" s="313">
        <v>634</v>
      </c>
      <c r="G235" s="313">
        <v>17136</v>
      </c>
      <c r="H235" s="313">
        <v>11852</v>
      </c>
    </row>
    <row r="236" spans="1:8" x14ac:dyDescent="0.2">
      <c r="A236" s="313">
        <v>1345300933</v>
      </c>
      <c r="B236" s="313" t="s">
        <v>440</v>
      </c>
      <c r="E236" s="313">
        <v>0</v>
      </c>
      <c r="G236" s="313">
        <v>567</v>
      </c>
      <c r="H236" s="313">
        <v>0</v>
      </c>
    </row>
    <row r="237" spans="1:8" x14ac:dyDescent="0.2">
      <c r="A237" s="313">
        <v>1345300936</v>
      </c>
      <c r="B237" s="313" t="s">
        <v>87</v>
      </c>
      <c r="C237" s="314">
        <v>9020</v>
      </c>
      <c r="D237" s="313">
        <v>9020</v>
      </c>
      <c r="E237" s="313">
        <v>68266</v>
      </c>
      <c r="F237" s="313">
        <v>59246</v>
      </c>
      <c r="G237" s="313">
        <v>11230</v>
      </c>
      <c r="H237" s="313">
        <v>7657</v>
      </c>
    </row>
    <row r="238" spans="1:8" x14ac:dyDescent="0.2">
      <c r="A238" s="313">
        <v>1345300937</v>
      </c>
      <c r="B238" s="313" t="s">
        <v>65</v>
      </c>
      <c r="C238" s="314">
        <v>211250</v>
      </c>
      <c r="D238" s="313">
        <v>211250</v>
      </c>
      <c r="E238" s="313">
        <v>216833</v>
      </c>
      <c r="F238" s="313">
        <v>5583</v>
      </c>
      <c r="G238" s="313">
        <v>247360</v>
      </c>
      <c r="H238" s="313">
        <v>423711</v>
      </c>
    </row>
    <row r="239" spans="1:8" x14ac:dyDescent="0.2">
      <c r="A239" s="313">
        <v>1345300938</v>
      </c>
      <c r="B239" s="313" t="s">
        <v>66</v>
      </c>
      <c r="C239" s="314">
        <v>23814</v>
      </c>
      <c r="D239" s="313">
        <v>23814</v>
      </c>
      <c r="E239" s="313">
        <v>28996</v>
      </c>
      <c r="F239" s="313">
        <v>5182</v>
      </c>
      <c r="G239" s="313">
        <v>12188</v>
      </c>
      <c r="H239" s="313">
        <v>17970</v>
      </c>
    </row>
    <row r="240" spans="1:8" x14ac:dyDescent="0.2">
      <c r="A240" s="313">
        <v>1346100930</v>
      </c>
      <c r="B240" s="313" t="s">
        <v>442</v>
      </c>
      <c r="C240" s="314">
        <v>130500</v>
      </c>
      <c r="D240" s="313">
        <v>130500</v>
      </c>
      <c r="E240" s="313">
        <v>110016</v>
      </c>
      <c r="F240" s="313">
        <v>-20484</v>
      </c>
      <c r="G240" s="313">
        <v>127684</v>
      </c>
      <c r="H240" s="313">
        <v>156432</v>
      </c>
    </row>
    <row r="241" spans="1:8" x14ac:dyDescent="0.2">
      <c r="A241" s="313">
        <v>1346300931</v>
      </c>
      <c r="B241" s="313" t="s">
        <v>443</v>
      </c>
      <c r="C241" s="314">
        <v>47250</v>
      </c>
      <c r="D241" s="313">
        <v>47250</v>
      </c>
      <c r="E241" s="313">
        <v>33234</v>
      </c>
      <c r="F241" s="313">
        <v>-14016</v>
      </c>
      <c r="G241" s="313">
        <v>45654</v>
      </c>
      <c r="H241" s="313">
        <v>31673</v>
      </c>
    </row>
    <row r="242" spans="1:8" x14ac:dyDescent="0.2">
      <c r="A242" s="313">
        <v>1346300933</v>
      </c>
      <c r="B242" s="313" t="s">
        <v>444</v>
      </c>
      <c r="C242" s="314">
        <v>9825</v>
      </c>
      <c r="D242" s="313">
        <v>9825</v>
      </c>
      <c r="E242" s="313">
        <v>2910</v>
      </c>
      <c r="F242" s="313">
        <v>-6915</v>
      </c>
      <c r="G242" s="313">
        <v>3359</v>
      </c>
      <c r="H242" s="313">
        <v>17702</v>
      </c>
    </row>
    <row r="243" spans="1:8" x14ac:dyDescent="0.2">
      <c r="A243" s="313">
        <v>1346400930</v>
      </c>
      <c r="B243" s="313" t="s">
        <v>1415</v>
      </c>
      <c r="C243" s="314">
        <v>41742</v>
      </c>
      <c r="D243" s="313">
        <v>41742</v>
      </c>
      <c r="E243" s="313">
        <v>1159</v>
      </c>
      <c r="F243" s="313">
        <v>-40583</v>
      </c>
      <c r="G243" s="313">
        <v>9247</v>
      </c>
    </row>
    <row r="244" spans="1:8" x14ac:dyDescent="0.2">
      <c r="A244" s="313">
        <v>1346400931</v>
      </c>
      <c r="B244" s="313" t="s">
        <v>445</v>
      </c>
      <c r="E244" s="313">
        <v>0</v>
      </c>
      <c r="G244" s="313">
        <v>0</v>
      </c>
      <c r="H244" s="313">
        <v>-6888</v>
      </c>
    </row>
    <row r="245" spans="1:8" x14ac:dyDescent="0.2">
      <c r="A245" s="313">
        <v>1346500930</v>
      </c>
      <c r="B245" s="313" t="s">
        <v>446</v>
      </c>
      <c r="C245" s="314">
        <v>2949300</v>
      </c>
      <c r="D245" s="313">
        <v>2949300</v>
      </c>
      <c r="E245" s="313">
        <v>2284902</v>
      </c>
      <c r="F245" s="313">
        <v>-664398</v>
      </c>
      <c r="G245" s="313">
        <v>2607243</v>
      </c>
      <c r="H245" s="313">
        <v>2319103</v>
      </c>
    </row>
    <row r="246" spans="1:8" x14ac:dyDescent="0.2">
      <c r="A246" s="313">
        <v>1346600930</v>
      </c>
      <c r="B246" s="313" t="s">
        <v>447</v>
      </c>
      <c r="C246" s="314">
        <v>51750</v>
      </c>
      <c r="D246" s="313">
        <v>51750</v>
      </c>
      <c r="E246" s="313">
        <v>26680</v>
      </c>
      <c r="F246" s="313">
        <v>-25070</v>
      </c>
      <c r="G246" s="313">
        <v>27284</v>
      </c>
      <c r="H246" s="313">
        <v>8047</v>
      </c>
    </row>
    <row r="247" spans="1:8" x14ac:dyDescent="0.2">
      <c r="A247" s="313">
        <v>1346600931</v>
      </c>
      <c r="B247" s="313" t="s">
        <v>448</v>
      </c>
      <c r="C247" s="314">
        <v>122430</v>
      </c>
      <c r="D247" s="313">
        <v>122430</v>
      </c>
      <c r="E247" s="313">
        <v>100928</v>
      </c>
      <c r="F247" s="313">
        <v>-21502</v>
      </c>
      <c r="G247" s="313">
        <v>117297</v>
      </c>
      <c r="H247" s="313">
        <v>76078</v>
      </c>
    </row>
    <row r="248" spans="1:8" x14ac:dyDescent="0.2">
      <c r="A248" s="313">
        <v>1346600933</v>
      </c>
      <c r="B248" s="313" t="s">
        <v>1479</v>
      </c>
      <c r="C248" s="314">
        <v>4500</v>
      </c>
      <c r="D248" s="313">
        <v>4500</v>
      </c>
      <c r="F248" s="313">
        <v>-4500</v>
      </c>
      <c r="G248" s="313">
        <v>1440</v>
      </c>
      <c r="H248" s="313">
        <v>5744</v>
      </c>
    </row>
    <row r="249" spans="1:8" x14ac:dyDescent="0.2">
      <c r="A249" s="313">
        <v>1346700930</v>
      </c>
      <c r="B249" s="313" t="s">
        <v>449</v>
      </c>
      <c r="C249" s="314">
        <v>26250</v>
      </c>
      <c r="D249" s="313">
        <v>26250</v>
      </c>
      <c r="E249" s="313">
        <v>5645</v>
      </c>
      <c r="F249" s="313">
        <v>-20605</v>
      </c>
      <c r="G249" s="313">
        <v>23576</v>
      </c>
      <c r="H249" s="313">
        <v>2145</v>
      </c>
    </row>
    <row r="250" spans="1:8" x14ac:dyDescent="0.2">
      <c r="A250" s="313">
        <v>1346700931</v>
      </c>
      <c r="B250" s="313" t="s">
        <v>1417</v>
      </c>
      <c r="C250" s="314">
        <v>9378</v>
      </c>
      <c r="D250" s="313">
        <v>9378</v>
      </c>
      <c r="E250" s="313">
        <v>7813</v>
      </c>
      <c r="F250" s="313">
        <v>-1565</v>
      </c>
      <c r="G250" s="313">
        <v>7070</v>
      </c>
    </row>
    <row r="251" spans="1:8" x14ac:dyDescent="0.2">
      <c r="A251" s="313">
        <v>1346700933</v>
      </c>
      <c r="B251" s="313" t="s">
        <v>303</v>
      </c>
      <c r="C251" s="314">
        <v>243828</v>
      </c>
      <c r="D251" s="313">
        <v>243828</v>
      </c>
      <c r="E251" s="313">
        <v>210871.8</v>
      </c>
      <c r="F251" s="313">
        <v>-32956.199999999997</v>
      </c>
      <c r="G251" s="313">
        <v>364524</v>
      </c>
      <c r="H251" s="313">
        <v>155058</v>
      </c>
    </row>
    <row r="252" spans="1:8" x14ac:dyDescent="0.2">
      <c r="A252" s="313">
        <v>1346700934</v>
      </c>
      <c r="B252" s="313" t="s">
        <v>450</v>
      </c>
      <c r="C252" s="314">
        <v>240000</v>
      </c>
      <c r="D252" s="313">
        <v>240000</v>
      </c>
      <c r="E252" s="313">
        <v>101943</v>
      </c>
      <c r="F252" s="313">
        <v>-138057</v>
      </c>
      <c r="G252" s="313">
        <v>176109</v>
      </c>
      <c r="H252" s="313">
        <v>213827</v>
      </c>
    </row>
    <row r="253" spans="1:8" x14ac:dyDescent="0.2">
      <c r="A253" s="313">
        <v>1346700935</v>
      </c>
      <c r="B253" s="313" t="s">
        <v>451</v>
      </c>
      <c r="C253" s="314">
        <v>30960</v>
      </c>
      <c r="D253" s="313">
        <v>30960</v>
      </c>
      <c r="E253" s="313">
        <v>54688</v>
      </c>
      <c r="F253" s="313">
        <v>23728</v>
      </c>
      <c r="G253" s="313">
        <v>37550</v>
      </c>
      <c r="H253" s="313">
        <v>99234</v>
      </c>
    </row>
    <row r="254" spans="1:8" x14ac:dyDescent="0.2">
      <c r="A254" s="313">
        <v>1346700936</v>
      </c>
      <c r="B254" s="313" t="s">
        <v>452</v>
      </c>
      <c r="C254" s="314">
        <v>3638</v>
      </c>
      <c r="D254" s="313">
        <v>3638</v>
      </c>
      <c r="E254" s="313">
        <v>2083</v>
      </c>
      <c r="F254" s="313">
        <v>-1555</v>
      </c>
      <c r="G254" s="313">
        <v>2291</v>
      </c>
      <c r="H254" s="313">
        <v>9932</v>
      </c>
    </row>
    <row r="255" spans="1:8" x14ac:dyDescent="0.2">
      <c r="A255" s="313">
        <v>1346700938</v>
      </c>
      <c r="B255" s="313" t="s">
        <v>454</v>
      </c>
      <c r="C255" s="314">
        <v>71143</v>
      </c>
      <c r="D255" s="313">
        <v>71143</v>
      </c>
      <c r="E255" s="313">
        <v>75994</v>
      </c>
      <c r="F255" s="313">
        <v>4851</v>
      </c>
      <c r="G255" s="313">
        <v>78682</v>
      </c>
      <c r="H255" s="313">
        <v>156228</v>
      </c>
    </row>
    <row r="256" spans="1:8" x14ac:dyDescent="0.2">
      <c r="A256" s="313">
        <v>1346700939</v>
      </c>
      <c r="B256" s="313" t="s">
        <v>88</v>
      </c>
      <c r="C256" s="314">
        <v>28710</v>
      </c>
      <c r="D256" s="313">
        <v>28710</v>
      </c>
      <c r="F256" s="313">
        <v>-28710</v>
      </c>
      <c r="G256" s="313">
        <v>60408</v>
      </c>
      <c r="H256" s="313">
        <v>60028</v>
      </c>
    </row>
    <row r="257" spans="1:8" x14ac:dyDescent="0.2">
      <c r="A257" s="313">
        <v>1346700950</v>
      </c>
      <c r="B257" s="313" t="s">
        <v>1595</v>
      </c>
      <c r="C257" s="314">
        <v>51255</v>
      </c>
      <c r="D257" s="313">
        <v>51255</v>
      </c>
      <c r="E257" s="313">
        <v>50833</v>
      </c>
      <c r="F257" s="313">
        <v>-422</v>
      </c>
      <c r="G257" s="313">
        <v>46602</v>
      </c>
    </row>
    <row r="258" spans="1:8" x14ac:dyDescent="0.2">
      <c r="A258" s="313">
        <v>1346800932</v>
      </c>
      <c r="B258" s="313" t="s">
        <v>455</v>
      </c>
      <c r="C258" s="314">
        <v>11790</v>
      </c>
      <c r="D258" s="313">
        <v>11790</v>
      </c>
      <c r="E258" s="313">
        <v>66442</v>
      </c>
      <c r="F258" s="313">
        <v>54652</v>
      </c>
      <c r="G258" s="313">
        <v>12033</v>
      </c>
      <c r="H258" s="313">
        <v>14259</v>
      </c>
    </row>
    <row r="259" spans="1:8" x14ac:dyDescent="0.2">
      <c r="A259" s="313">
        <v>1346800933</v>
      </c>
      <c r="B259" s="313" t="s">
        <v>456</v>
      </c>
      <c r="C259" s="314">
        <v>179316</v>
      </c>
      <c r="D259" s="313">
        <v>179316</v>
      </c>
      <c r="E259" s="313">
        <v>37529</v>
      </c>
      <c r="F259" s="313">
        <v>-141787</v>
      </c>
      <c r="G259" s="313">
        <v>61564</v>
      </c>
      <c r="H259" s="313">
        <v>65008</v>
      </c>
    </row>
    <row r="260" spans="1:8" x14ac:dyDescent="0.2">
      <c r="A260" s="313">
        <v>1346800934</v>
      </c>
      <c r="B260" s="313" t="s">
        <v>457</v>
      </c>
      <c r="C260" s="314">
        <v>11250</v>
      </c>
      <c r="D260" s="313">
        <v>11250</v>
      </c>
      <c r="E260" s="313">
        <v>0</v>
      </c>
      <c r="F260" s="313">
        <v>-11250</v>
      </c>
      <c r="G260" s="313">
        <v>2475</v>
      </c>
      <c r="H260" s="313">
        <v>14343</v>
      </c>
    </row>
    <row r="261" spans="1:8" x14ac:dyDescent="0.2">
      <c r="A261" s="313">
        <v>1346800936</v>
      </c>
      <c r="B261" s="313" t="s">
        <v>459</v>
      </c>
      <c r="C261" s="314">
        <v>208458</v>
      </c>
      <c r="D261" s="313">
        <v>208458</v>
      </c>
      <c r="E261" s="313">
        <v>189550</v>
      </c>
      <c r="F261" s="313">
        <v>-18908</v>
      </c>
      <c r="G261" s="313">
        <v>66197</v>
      </c>
      <c r="H261" s="313">
        <v>200844</v>
      </c>
    </row>
    <row r="262" spans="1:8" x14ac:dyDescent="0.2">
      <c r="A262" s="313">
        <v>1346800938</v>
      </c>
      <c r="B262" s="313" t="s">
        <v>1596</v>
      </c>
      <c r="E262" s="313">
        <v>35645</v>
      </c>
      <c r="F262" s="313">
        <v>35645</v>
      </c>
      <c r="G262" s="313">
        <v>41855</v>
      </c>
      <c r="H262" s="313">
        <v>10365</v>
      </c>
    </row>
    <row r="263" spans="1:8" x14ac:dyDescent="0.2">
      <c r="A263" s="313">
        <v>1346800940</v>
      </c>
      <c r="B263" s="313" t="s">
        <v>67</v>
      </c>
      <c r="C263" s="314">
        <v>76200</v>
      </c>
      <c r="D263" s="313">
        <v>76200</v>
      </c>
      <c r="E263" s="313">
        <v>85148</v>
      </c>
      <c r="F263" s="313">
        <v>8948</v>
      </c>
      <c r="G263" s="313">
        <v>96855</v>
      </c>
      <c r="H263" s="313">
        <v>113966</v>
      </c>
    </row>
    <row r="264" spans="1:8" x14ac:dyDescent="0.2">
      <c r="A264" s="313">
        <v>1346800942</v>
      </c>
      <c r="B264" s="313" t="s">
        <v>1955</v>
      </c>
      <c r="E264" s="313">
        <v>7423</v>
      </c>
      <c r="F264" s="313">
        <v>7423</v>
      </c>
    </row>
    <row r="265" spans="1:8" x14ac:dyDescent="0.2">
      <c r="A265" s="313">
        <v>1347100931</v>
      </c>
      <c r="B265" s="313" t="s">
        <v>461</v>
      </c>
      <c r="C265" s="314">
        <v>257475</v>
      </c>
      <c r="D265" s="313">
        <v>257475</v>
      </c>
      <c r="E265" s="313">
        <v>171886</v>
      </c>
      <c r="F265" s="313">
        <v>-85589</v>
      </c>
      <c r="G265" s="313">
        <v>204140</v>
      </c>
      <c r="H265" s="313">
        <v>203896</v>
      </c>
    </row>
    <row r="266" spans="1:8" x14ac:dyDescent="0.2">
      <c r="A266" s="313">
        <v>1347100932</v>
      </c>
      <c r="B266" s="313" t="s">
        <v>1198</v>
      </c>
      <c r="C266" s="314">
        <v>72000</v>
      </c>
      <c r="D266" s="313">
        <v>72000</v>
      </c>
      <c r="E266" s="313">
        <v>50180</v>
      </c>
      <c r="F266" s="313">
        <v>-21820</v>
      </c>
      <c r="G266" s="313">
        <v>97377</v>
      </c>
      <c r="H266" s="313">
        <v>72000</v>
      </c>
    </row>
    <row r="267" spans="1:8" x14ac:dyDescent="0.2">
      <c r="A267" s="313">
        <v>1347100933</v>
      </c>
      <c r="B267" s="313" t="s">
        <v>462</v>
      </c>
      <c r="C267" s="314">
        <v>17250</v>
      </c>
      <c r="D267" s="313">
        <v>17250</v>
      </c>
      <c r="E267" s="313">
        <v>8168</v>
      </c>
      <c r="F267" s="313">
        <v>-9082</v>
      </c>
      <c r="G267" s="313">
        <v>17688</v>
      </c>
      <c r="H267" s="313">
        <v>16508</v>
      </c>
    </row>
    <row r="268" spans="1:8" x14ac:dyDescent="0.2">
      <c r="A268" s="313">
        <v>1347100934</v>
      </c>
      <c r="B268" s="313" t="s">
        <v>463</v>
      </c>
      <c r="C268" s="314">
        <v>159975</v>
      </c>
      <c r="D268" s="313">
        <v>159975</v>
      </c>
      <c r="E268" s="313">
        <v>121194</v>
      </c>
      <c r="F268" s="313">
        <v>-38781</v>
      </c>
      <c r="G268" s="313">
        <v>206893</v>
      </c>
      <c r="H268" s="313">
        <v>130150</v>
      </c>
    </row>
    <row r="269" spans="1:8" x14ac:dyDescent="0.2">
      <c r="A269" s="313">
        <v>1347100936</v>
      </c>
      <c r="B269" s="313" t="s">
        <v>50</v>
      </c>
      <c r="C269" s="314">
        <v>11313</v>
      </c>
      <c r="D269" s="313">
        <v>11313</v>
      </c>
      <c r="E269" s="313">
        <v>13761</v>
      </c>
      <c r="F269" s="313">
        <v>2448</v>
      </c>
      <c r="G269" s="313">
        <v>6535</v>
      </c>
      <c r="H269" s="313">
        <v>28395</v>
      </c>
    </row>
    <row r="270" spans="1:8" x14ac:dyDescent="0.2">
      <c r="A270" s="313">
        <v>1347100940</v>
      </c>
      <c r="B270" s="313" t="s">
        <v>69</v>
      </c>
      <c r="C270" s="314">
        <v>15000</v>
      </c>
      <c r="D270" s="313">
        <v>15000</v>
      </c>
      <c r="F270" s="313">
        <v>-15000</v>
      </c>
    </row>
    <row r="271" spans="1:8" x14ac:dyDescent="0.2">
      <c r="A271" s="313">
        <v>1347100952</v>
      </c>
      <c r="B271" s="313" t="s">
        <v>1957</v>
      </c>
      <c r="E271" s="313">
        <v>11121</v>
      </c>
      <c r="F271" s="313">
        <v>11121</v>
      </c>
    </row>
    <row r="272" spans="1:8" x14ac:dyDescent="0.2">
      <c r="A272" s="313">
        <v>1347100953</v>
      </c>
      <c r="B272" s="313" t="s">
        <v>1958</v>
      </c>
      <c r="E272" s="313">
        <v>59423</v>
      </c>
      <c r="F272" s="313">
        <v>59423</v>
      </c>
    </row>
    <row r="273" spans="1:8" x14ac:dyDescent="0.2">
      <c r="A273" s="313">
        <v>1347100954</v>
      </c>
      <c r="B273" s="313" t="s">
        <v>1959</v>
      </c>
      <c r="E273" s="313">
        <v>3687</v>
      </c>
      <c r="F273" s="313">
        <v>3687</v>
      </c>
    </row>
    <row r="274" spans="1:8" x14ac:dyDescent="0.2">
      <c r="A274" s="313">
        <v>1347300930</v>
      </c>
      <c r="B274" s="313" t="s">
        <v>466</v>
      </c>
      <c r="C274" s="314">
        <v>4500</v>
      </c>
      <c r="D274" s="313">
        <v>4500</v>
      </c>
      <c r="E274" s="313">
        <v>3182</v>
      </c>
      <c r="F274" s="313">
        <v>-1318</v>
      </c>
      <c r="G274" s="313">
        <v>4441</v>
      </c>
      <c r="H274" s="313">
        <v>5744</v>
      </c>
    </row>
    <row r="275" spans="1:8" x14ac:dyDescent="0.2">
      <c r="A275" s="313">
        <v>1347300936</v>
      </c>
      <c r="B275" s="313" t="s">
        <v>1425</v>
      </c>
      <c r="C275" s="314">
        <v>93525</v>
      </c>
      <c r="D275" s="313">
        <v>93525</v>
      </c>
      <c r="E275" s="313">
        <v>138727</v>
      </c>
      <c r="F275" s="313">
        <v>45202</v>
      </c>
      <c r="G275" s="313">
        <v>122305</v>
      </c>
      <c r="H275" s="313">
        <v>150875</v>
      </c>
    </row>
    <row r="276" spans="1:8" x14ac:dyDescent="0.2">
      <c r="A276" s="313">
        <v>1347300937</v>
      </c>
      <c r="B276" s="313" t="s">
        <v>96</v>
      </c>
      <c r="H276" s="313">
        <v>10346</v>
      </c>
    </row>
    <row r="277" spans="1:8" x14ac:dyDescent="0.2">
      <c r="A277" s="313">
        <v>1347300938</v>
      </c>
      <c r="B277" s="313" t="s">
        <v>1478</v>
      </c>
      <c r="E277" s="313">
        <v>0</v>
      </c>
      <c r="H277" s="313">
        <v>5288</v>
      </c>
    </row>
    <row r="278" spans="1:8" x14ac:dyDescent="0.2">
      <c r="A278" s="313">
        <v>1347400931</v>
      </c>
      <c r="B278" s="313" t="s">
        <v>470</v>
      </c>
      <c r="C278" s="314">
        <v>289545</v>
      </c>
      <c r="D278" s="313">
        <v>289545</v>
      </c>
      <c r="E278" s="313">
        <v>247532</v>
      </c>
      <c r="F278" s="313">
        <v>-42013</v>
      </c>
      <c r="G278" s="313">
        <v>321441</v>
      </c>
      <c r="H278" s="313">
        <v>337948</v>
      </c>
    </row>
    <row r="279" spans="1:8" x14ac:dyDescent="0.2">
      <c r="A279" s="313">
        <v>1347400933</v>
      </c>
      <c r="B279" s="313" t="s">
        <v>471</v>
      </c>
      <c r="C279" s="314">
        <v>44592</v>
      </c>
      <c r="D279" s="313">
        <v>44592</v>
      </c>
      <c r="F279" s="313">
        <v>-44592</v>
      </c>
      <c r="G279" s="313">
        <v>33900</v>
      </c>
      <c r="H279" s="313">
        <v>21375</v>
      </c>
    </row>
    <row r="280" spans="1:8" x14ac:dyDescent="0.2">
      <c r="A280" s="313">
        <v>1348200931</v>
      </c>
      <c r="B280" s="313" t="s">
        <v>474</v>
      </c>
      <c r="C280" s="314">
        <v>18750</v>
      </c>
      <c r="D280" s="313">
        <v>18750</v>
      </c>
      <c r="E280" s="313">
        <v>12501</v>
      </c>
      <c r="F280" s="313">
        <v>-6249</v>
      </c>
      <c r="G280" s="313">
        <v>9045</v>
      </c>
      <c r="H280" s="313">
        <v>8488</v>
      </c>
    </row>
    <row r="281" spans="1:8" x14ac:dyDescent="0.2">
      <c r="A281" s="313">
        <v>1348200936</v>
      </c>
      <c r="B281" s="313" t="s">
        <v>1431</v>
      </c>
      <c r="H281" s="313">
        <v>3186</v>
      </c>
    </row>
    <row r="282" spans="1:8" x14ac:dyDescent="0.2">
      <c r="A282" s="313">
        <v>1348200937</v>
      </c>
      <c r="B282" s="313" t="s">
        <v>1365</v>
      </c>
      <c r="C282" s="314">
        <v>8250</v>
      </c>
      <c r="D282" s="313">
        <v>8250</v>
      </c>
      <c r="E282" s="313">
        <v>2610</v>
      </c>
      <c r="F282" s="313">
        <v>-5640</v>
      </c>
      <c r="G282" s="313">
        <v>6750</v>
      </c>
      <c r="H282" s="313">
        <v>3375</v>
      </c>
    </row>
    <row r="283" spans="1:8" x14ac:dyDescent="0.2">
      <c r="A283" s="313">
        <v>1348200938</v>
      </c>
      <c r="B283" s="313" t="s">
        <v>1731</v>
      </c>
      <c r="G283" s="313">
        <v>11250</v>
      </c>
    </row>
    <row r="284" spans="1:8" x14ac:dyDescent="0.2">
      <c r="A284" s="313">
        <v>1348300930</v>
      </c>
      <c r="B284" s="313" t="s">
        <v>475</v>
      </c>
      <c r="C284" s="314">
        <v>6000</v>
      </c>
      <c r="D284" s="313">
        <v>6000</v>
      </c>
      <c r="E284" s="313">
        <v>16453</v>
      </c>
      <c r="F284" s="313">
        <v>10453</v>
      </c>
      <c r="G284" s="313">
        <v>12481</v>
      </c>
      <c r="H284" s="313">
        <v>5845</v>
      </c>
    </row>
    <row r="285" spans="1:8" x14ac:dyDescent="0.2">
      <c r="A285" s="313">
        <v>1348400930</v>
      </c>
      <c r="B285" s="313" t="s">
        <v>476</v>
      </c>
      <c r="C285" s="314">
        <v>1905</v>
      </c>
      <c r="D285" s="313">
        <v>1905</v>
      </c>
      <c r="E285" s="313">
        <v>1441</v>
      </c>
      <c r="F285" s="313">
        <v>-464</v>
      </c>
    </row>
    <row r="286" spans="1:8" x14ac:dyDescent="0.2">
      <c r="A286" s="313">
        <v>1348500932</v>
      </c>
      <c r="B286" s="313" t="s">
        <v>477</v>
      </c>
      <c r="C286" s="314">
        <v>27000</v>
      </c>
      <c r="D286" s="313">
        <v>27000</v>
      </c>
      <c r="E286" s="313">
        <v>19156</v>
      </c>
      <c r="F286" s="313">
        <v>-7844</v>
      </c>
      <c r="G286" s="313">
        <v>27702</v>
      </c>
      <c r="H286" s="313">
        <v>43028</v>
      </c>
    </row>
    <row r="287" spans="1:8" x14ac:dyDescent="0.2">
      <c r="A287" s="313">
        <v>1349000930</v>
      </c>
      <c r="B287" s="313" t="s">
        <v>478</v>
      </c>
      <c r="C287" s="314">
        <v>13151</v>
      </c>
      <c r="D287" s="313">
        <v>13151</v>
      </c>
      <c r="E287" s="313">
        <v>11032</v>
      </c>
      <c r="F287" s="313">
        <v>-2119</v>
      </c>
      <c r="G287" s="313">
        <v>13014</v>
      </c>
      <c r="H287" s="313">
        <v>12248</v>
      </c>
    </row>
    <row r="288" spans="1:8" x14ac:dyDescent="0.2">
      <c r="A288" s="313">
        <v>1349000932</v>
      </c>
      <c r="B288" s="313" t="s">
        <v>480</v>
      </c>
      <c r="C288" s="314">
        <v>23958</v>
      </c>
      <c r="D288" s="313">
        <v>23958</v>
      </c>
      <c r="E288" s="313">
        <v>18606</v>
      </c>
      <c r="F288" s="313">
        <v>-5352</v>
      </c>
      <c r="G288" s="313">
        <v>28409</v>
      </c>
      <c r="H288" s="313">
        <v>37342</v>
      </c>
    </row>
    <row r="289" spans="1:8" x14ac:dyDescent="0.2">
      <c r="A289" s="313">
        <v>1349000934</v>
      </c>
      <c r="B289" s="313" t="s">
        <v>482</v>
      </c>
      <c r="C289" s="314">
        <v>78615</v>
      </c>
      <c r="D289" s="313">
        <v>78615</v>
      </c>
      <c r="E289" s="313">
        <v>67859</v>
      </c>
      <c r="F289" s="313">
        <v>-10756</v>
      </c>
      <c r="G289" s="313">
        <v>79818</v>
      </c>
      <c r="H289" s="313">
        <v>195086</v>
      </c>
    </row>
    <row r="290" spans="1:8" x14ac:dyDescent="0.2">
      <c r="A290" s="313">
        <v>1349000935</v>
      </c>
      <c r="B290" s="313" t="s">
        <v>483</v>
      </c>
      <c r="C290" s="314">
        <v>66474</v>
      </c>
      <c r="D290" s="313">
        <v>66474</v>
      </c>
      <c r="E290" s="313">
        <v>45581</v>
      </c>
      <c r="F290" s="313">
        <v>-20893</v>
      </c>
      <c r="G290" s="313">
        <v>65988</v>
      </c>
      <c r="H290" s="313">
        <v>34613</v>
      </c>
    </row>
    <row r="291" spans="1:8" x14ac:dyDescent="0.2">
      <c r="A291" s="313">
        <v>1349000938</v>
      </c>
      <c r="B291" s="313" t="s">
        <v>484</v>
      </c>
      <c r="C291" s="314">
        <v>37200</v>
      </c>
      <c r="D291" s="313">
        <v>37200</v>
      </c>
      <c r="E291" s="313">
        <v>29639</v>
      </c>
      <c r="F291" s="313">
        <v>-7561</v>
      </c>
      <c r="G291" s="313">
        <v>40671</v>
      </c>
      <c r="H291" s="313">
        <v>39946</v>
      </c>
    </row>
    <row r="292" spans="1:8" x14ac:dyDescent="0.2">
      <c r="A292" s="313">
        <v>1349000941</v>
      </c>
      <c r="B292" s="313" t="s">
        <v>70</v>
      </c>
      <c r="C292" s="314">
        <v>126000</v>
      </c>
      <c r="D292" s="313">
        <v>126000</v>
      </c>
      <c r="E292" s="313">
        <v>110633</v>
      </c>
      <c r="F292" s="313">
        <v>-15367</v>
      </c>
      <c r="G292" s="313">
        <v>126525</v>
      </c>
      <c r="H292" s="313">
        <v>116856</v>
      </c>
    </row>
    <row r="293" spans="1:8" x14ac:dyDescent="0.2">
      <c r="A293" s="313">
        <v>1349001931</v>
      </c>
      <c r="B293" s="313" t="s">
        <v>1366</v>
      </c>
      <c r="C293" s="314">
        <v>150000</v>
      </c>
      <c r="D293" s="313">
        <v>150000</v>
      </c>
      <c r="E293" s="313">
        <v>83391</v>
      </c>
      <c r="F293" s="313">
        <v>-66609</v>
      </c>
      <c r="G293" s="313">
        <v>118530</v>
      </c>
      <c r="H293" s="313">
        <v>136711</v>
      </c>
    </row>
    <row r="294" spans="1:8" x14ac:dyDescent="0.2">
      <c r="A294" s="313">
        <v>1349001937</v>
      </c>
      <c r="B294" s="313" t="s">
        <v>486</v>
      </c>
      <c r="C294" s="314">
        <v>11122</v>
      </c>
      <c r="D294" s="313">
        <v>11122</v>
      </c>
      <c r="E294" s="313">
        <v>11749</v>
      </c>
      <c r="F294" s="313">
        <v>627</v>
      </c>
      <c r="G294" s="313">
        <v>3285</v>
      </c>
      <c r="H294" s="313">
        <v>10186</v>
      </c>
    </row>
    <row r="295" spans="1:8" x14ac:dyDescent="0.2">
      <c r="A295" s="313">
        <v>1349001939</v>
      </c>
      <c r="B295" s="313" t="s">
        <v>487</v>
      </c>
      <c r="C295" s="314">
        <v>15756</v>
      </c>
      <c r="D295" s="313">
        <v>15756</v>
      </c>
      <c r="E295" s="313">
        <v>10536</v>
      </c>
      <c r="F295" s="313">
        <v>-5220</v>
      </c>
      <c r="G295" s="313">
        <v>3215</v>
      </c>
      <c r="H295" s="313">
        <v>11964</v>
      </c>
    </row>
    <row r="296" spans="1:8" x14ac:dyDescent="0.2">
      <c r="A296" s="313">
        <v>1349002939</v>
      </c>
      <c r="B296" s="313" t="s">
        <v>488</v>
      </c>
      <c r="E296" s="313">
        <v>2720</v>
      </c>
      <c r="F296" s="313">
        <v>2720</v>
      </c>
      <c r="G296" s="313">
        <v>7264</v>
      </c>
      <c r="H296" s="313">
        <v>0</v>
      </c>
    </row>
    <row r="297" spans="1:8" x14ac:dyDescent="0.2">
      <c r="A297" s="313">
        <v>1349300931</v>
      </c>
      <c r="B297" s="313" t="s">
        <v>1598</v>
      </c>
      <c r="G297" s="313">
        <v>4165</v>
      </c>
    </row>
    <row r="298" spans="1:8" x14ac:dyDescent="0.2">
      <c r="A298" s="313" t="s">
        <v>277</v>
      </c>
      <c r="B298" s="313" t="s">
        <v>400</v>
      </c>
      <c r="C298" s="314">
        <v>41603505</v>
      </c>
      <c r="D298" s="313">
        <v>41603505</v>
      </c>
      <c r="E298" s="313">
        <v>34594652.509999998</v>
      </c>
      <c r="F298" s="313">
        <v>-7008852.4900000002</v>
      </c>
      <c r="G298" s="313">
        <v>40529660.5</v>
      </c>
      <c r="H298" s="313">
        <v>38234398</v>
      </c>
    </row>
    <row r="299" spans="1:8" x14ac:dyDescent="0.2">
      <c r="A299" s="313" t="s">
        <v>489</v>
      </c>
      <c r="B299" s="313" t="s">
        <v>490</v>
      </c>
    </row>
    <row r="300" spans="1:8" x14ac:dyDescent="0.2">
      <c r="A300" s="313">
        <v>1214200960</v>
      </c>
      <c r="B300" s="313" t="s">
        <v>491</v>
      </c>
      <c r="C300" s="314">
        <v>200000</v>
      </c>
      <c r="D300" s="313">
        <v>200000</v>
      </c>
      <c r="F300" s="313">
        <v>-200000</v>
      </c>
      <c r="G300" s="313">
        <v>300000</v>
      </c>
      <c r="H300" s="313">
        <v>200000</v>
      </c>
    </row>
    <row r="301" spans="1:8" x14ac:dyDescent="0.2">
      <c r="A301" s="313">
        <v>1222000970</v>
      </c>
      <c r="B301" s="313" t="s">
        <v>1929</v>
      </c>
      <c r="C301" s="314">
        <v>105562</v>
      </c>
      <c r="D301" s="313">
        <v>105562</v>
      </c>
      <c r="F301" s="313">
        <v>-105562</v>
      </c>
    </row>
    <row r="302" spans="1:8" x14ac:dyDescent="0.2">
      <c r="A302" s="313">
        <v>1222100910</v>
      </c>
      <c r="B302" s="313" t="s">
        <v>492</v>
      </c>
      <c r="C302" s="314">
        <v>10000</v>
      </c>
      <c r="D302" s="313">
        <v>10000</v>
      </c>
      <c r="F302" s="313">
        <v>-10000</v>
      </c>
      <c r="H302" s="313">
        <v>12336</v>
      </c>
    </row>
    <row r="303" spans="1:8" x14ac:dyDescent="0.2">
      <c r="A303" s="313">
        <v>1322000920</v>
      </c>
      <c r="B303" s="313" t="s">
        <v>494</v>
      </c>
      <c r="C303" s="314">
        <v>1807993</v>
      </c>
      <c r="D303" s="313">
        <v>1807993</v>
      </c>
      <c r="E303" s="313">
        <v>1393027</v>
      </c>
      <c r="F303" s="313">
        <v>-414966</v>
      </c>
      <c r="G303" s="313">
        <v>2001329</v>
      </c>
      <c r="H303" s="313">
        <v>2053922</v>
      </c>
    </row>
    <row r="304" spans="1:8" x14ac:dyDescent="0.2">
      <c r="A304" s="313">
        <v>1325200920</v>
      </c>
      <c r="B304" s="313" t="s">
        <v>496</v>
      </c>
      <c r="C304" s="314">
        <v>750156</v>
      </c>
      <c r="D304" s="313">
        <v>750156</v>
      </c>
      <c r="E304" s="313">
        <v>690000</v>
      </c>
      <c r="F304" s="313">
        <v>-60156</v>
      </c>
      <c r="G304" s="313">
        <v>574154.86</v>
      </c>
      <c r="H304" s="313">
        <v>629072.28</v>
      </c>
    </row>
    <row r="305" spans="1:8" x14ac:dyDescent="0.2">
      <c r="A305" s="313">
        <v>1329300920</v>
      </c>
      <c r="B305" s="313" t="s">
        <v>497</v>
      </c>
      <c r="C305" s="314">
        <v>104000</v>
      </c>
      <c r="D305" s="313">
        <v>104000</v>
      </c>
      <c r="E305" s="313">
        <v>234562</v>
      </c>
      <c r="F305" s="313">
        <v>130562</v>
      </c>
      <c r="G305" s="313">
        <v>68625</v>
      </c>
      <c r="H305" s="313">
        <v>140076</v>
      </c>
    </row>
    <row r="306" spans="1:8" x14ac:dyDescent="0.2">
      <c r="A306" s="313">
        <v>1599000980</v>
      </c>
      <c r="B306" s="313" t="s">
        <v>1214</v>
      </c>
      <c r="H306" s="313">
        <v>3570000</v>
      </c>
    </row>
    <row r="307" spans="1:8" x14ac:dyDescent="0.2">
      <c r="A307" s="313" t="s">
        <v>277</v>
      </c>
      <c r="B307" s="313" t="s">
        <v>490</v>
      </c>
      <c r="C307" s="314">
        <v>2977711</v>
      </c>
      <c r="D307" s="313">
        <v>2977711</v>
      </c>
      <c r="E307" s="313">
        <v>2317589</v>
      </c>
      <c r="F307" s="313">
        <v>-660122</v>
      </c>
      <c r="G307" s="313">
        <v>2944108.86</v>
      </c>
      <c r="H307" s="313">
        <v>6605406.2800000003</v>
      </c>
    </row>
    <row r="308" spans="1:8" x14ac:dyDescent="0.2">
      <c r="A308" s="313" t="s">
        <v>498</v>
      </c>
      <c r="B308" s="313" t="s">
        <v>499</v>
      </c>
    </row>
    <row r="309" spans="1:8" x14ac:dyDescent="0.2">
      <c r="A309" s="313">
        <v>1191000910</v>
      </c>
      <c r="B309" s="313" t="s">
        <v>500</v>
      </c>
      <c r="C309" s="314">
        <v>50630000</v>
      </c>
      <c r="D309" s="313">
        <v>50630000</v>
      </c>
      <c r="E309" s="313">
        <v>37983640.700000003</v>
      </c>
      <c r="F309" s="313">
        <v>-12646359.300000001</v>
      </c>
      <c r="G309" s="313">
        <v>45107998</v>
      </c>
      <c r="H309" s="313">
        <v>43541680.990000002</v>
      </c>
    </row>
    <row r="310" spans="1:8" x14ac:dyDescent="0.2">
      <c r="A310" s="313">
        <v>1192000910</v>
      </c>
      <c r="B310" s="313" t="s">
        <v>501</v>
      </c>
      <c r="C310" s="314">
        <v>5453665</v>
      </c>
      <c r="D310" s="313">
        <v>5453665</v>
      </c>
      <c r="E310" s="313">
        <v>3285095.28</v>
      </c>
      <c r="F310" s="313">
        <v>-2168569.7200000002</v>
      </c>
      <c r="G310" s="313">
        <v>4902062</v>
      </c>
      <c r="H310" s="313">
        <v>2801927</v>
      </c>
    </row>
    <row r="311" spans="1:8" x14ac:dyDescent="0.2">
      <c r="A311" s="313" t="s">
        <v>277</v>
      </c>
      <c r="B311" s="313" t="s">
        <v>499</v>
      </c>
      <c r="C311" s="314">
        <v>56083665</v>
      </c>
      <c r="D311" s="313">
        <v>56083665</v>
      </c>
      <c r="E311" s="313">
        <v>41268735.979999997</v>
      </c>
      <c r="F311" s="313">
        <v>-14814929.02</v>
      </c>
      <c r="G311" s="313">
        <v>50010060</v>
      </c>
      <c r="H311" s="313">
        <v>46343607.990000002</v>
      </c>
    </row>
    <row r="312" spans="1:8" x14ac:dyDescent="0.2">
      <c r="A312" s="313" t="s">
        <v>277</v>
      </c>
      <c r="B312" s="313" t="s">
        <v>1448</v>
      </c>
      <c r="C312" s="314">
        <v>152533540</v>
      </c>
      <c r="D312" s="313">
        <v>152533540</v>
      </c>
      <c r="E312" s="313">
        <v>119251423.78</v>
      </c>
      <c r="F312" s="313">
        <v>-33282116.219999999</v>
      </c>
      <c r="G312" s="313">
        <v>148158936.71000001</v>
      </c>
      <c r="H312" s="313">
        <v>138182376.66</v>
      </c>
    </row>
    <row r="313" spans="1:8" x14ac:dyDescent="0.2">
      <c r="A313" s="313" t="s">
        <v>1449</v>
      </c>
      <c r="B313" s="313" t="s">
        <v>502</v>
      </c>
    </row>
    <row r="314" spans="1:8" x14ac:dyDescent="0.2">
      <c r="A314" s="313">
        <v>1594000590</v>
      </c>
      <c r="B314" s="313" t="s">
        <v>1212</v>
      </c>
      <c r="C314" s="314">
        <v>900000</v>
      </c>
      <c r="D314" s="313">
        <v>900000</v>
      </c>
      <c r="E314" s="313">
        <v>643417.61</v>
      </c>
      <c r="F314" s="313">
        <v>-256582.39</v>
      </c>
      <c r="G314" s="313">
        <v>1387404.26</v>
      </c>
      <c r="H314" s="313">
        <v>682869.85</v>
      </c>
    </row>
    <row r="315" spans="1:8" x14ac:dyDescent="0.2">
      <c r="A315" s="313">
        <v>1594100590</v>
      </c>
      <c r="B315" s="313" t="s">
        <v>1213</v>
      </c>
      <c r="C315" s="314">
        <v>2550000</v>
      </c>
      <c r="D315" s="313">
        <v>2550000</v>
      </c>
      <c r="E315" s="313">
        <v>943703.69</v>
      </c>
      <c r="F315" s="313">
        <v>-1606296.31</v>
      </c>
      <c r="G315" s="313">
        <v>1916973.1</v>
      </c>
      <c r="H315" s="313">
        <v>10307260.039999999</v>
      </c>
    </row>
    <row r="316" spans="1:8" x14ac:dyDescent="0.2">
      <c r="A316" s="313" t="s">
        <v>277</v>
      </c>
      <c r="B316" s="313" t="s">
        <v>502</v>
      </c>
      <c r="C316" s="314">
        <v>3450000</v>
      </c>
      <c r="D316" s="313">
        <v>3450000</v>
      </c>
      <c r="E316" s="313">
        <v>1587121.3</v>
      </c>
      <c r="F316" s="313">
        <v>-1862878.7</v>
      </c>
      <c r="G316" s="313">
        <v>3304377.36</v>
      </c>
      <c r="H316" s="313">
        <v>10990129.890000001</v>
      </c>
    </row>
    <row r="317" spans="1:8" x14ac:dyDescent="0.2">
      <c r="A317" s="313" t="s">
        <v>277</v>
      </c>
      <c r="B317" s="313" t="s">
        <v>271</v>
      </c>
      <c r="C317" s="314">
        <v>367861484</v>
      </c>
      <c r="D317" s="313">
        <v>367861483.80000001</v>
      </c>
      <c r="E317" s="313">
        <v>298030070.74000001</v>
      </c>
      <c r="F317" s="313">
        <v>-69831413.060000002</v>
      </c>
      <c r="G317" s="313">
        <v>358090472.04000002</v>
      </c>
      <c r="H317" s="313">
        <v>344765935.29000002</v>
      </c>
    </row>
    <row r="318" spans="1:8" x14ac:dyDescent="0.2">
      <c r="A318" s="313" t="s">
        <v>503</v>
      </c>
      <c r="B318" s="313" t="s">
        <v>504</v>
      </c>
    </row>
    <row r="319" spans="1:8" x14ac:dyDescent="0.2">
      <c r="A319" s="313">
        <v>1113000290</v>
      </c>
      <c r="B319" s="313" t="s">
        <v>505</v>
      </c>
      <c r="C319" s="314">
        <v>21000000</v>
      </c>
      <c r="D319" s="313">
        <v>21000000</v>
      </c>
      <c r="F319" s="313">
        <v>-21000000</v>
      </c>
      <c r="G319" s="313">
        <v>25695216</v>
      </c>
      <c r="H319" s="313">
        <v>21805512</v>
      </c>
    </row>
    <row r="320" spans="1:8" x14ac:dyDescent="0.2">
      <c r="A320" s="313" t="s">
        <v>277</v>
      </c>
      <c r="B320" s="313" t="s">
        <v>504</v>
      </c>
      <c r="C320" s="314">
        <v>21000000</v>
      </c>
      <c r="D320" s="313">
        <v>21000000</v>
      </c>
      <c r="F320" s="313">
        <v>-21000000</v>
      </c>
      <c r="G320" s="313">
        <v>25695216</v>
      </c>
      <c r="H320" s="313">
        <v>21805512</v>
      </c>
    </row>
    <row r="321" spans="1:8" x14ac:dyDescent="0.2">
      <c r="A321" s="313" t="s">
        <v>277</v>
      </c>
      <c r="B321" s="313" t="s">
        <v>269</v>
      </c>
      <c r="C321" s="314">
        <v>388861484</v>
      </c>
      <c r="D321" s="313">
        <v>388861483.80000001</v>
      </c>
      <c r="E321" s="313">
        <v>298030070.74000001</v>
      </c>
      <c r="F321" s="313">
        <v>-90831413.060000002</v>
      </c>
      <c r="G321" s="313">
        <v>383785688.04000002</v>
      </c>
      <c r="H321" s="313">
        <v>366571447.29000002</v>
      </c>
    </row>
    <row r="322" spans="1:8" x14ac:dyDescent="0.2">
      <c r="A322" s="313" t="s">
        <v>268</v>
      </c>
      <c r="B322" s="313" t="s">
        <v>506</v>
      </c>
    </row>
    <row r="323" spans="1:8" x14ac:dyDescent="0.2">
      <c r="A323" s="313" t="s">
        <v>270</v>
      </c>
      <c r="B323" s="313" t="s">
        <v>507</v>
      </c>
    </row>
    <row r="324" spans="1:8" x14ac:dyDescent="0.2">
      <c r="A324" s="313" t="s">
        <v>281</v>
      </c>
      <c r="B324" s="313" t="s">
        <v>508</v>
      </c>
    </row>
    <row r="325" spans="1:8" x14ac:dyDescent="0.2">
      <c r="A325" s="313" t="s">
        <v>509</v>
      </c>
      <c r="B325" s="313" t="s">
        <v>510</v>
      </c>
    </row>
    <row r="326" spans="1:8" x14ac:dyDescent="0.2">
      <c r="A326" s="313">
        <v>1611000110</v>
      </c>
      <c r="B326" s="313" t="s">
        <v>511</v>
      </c>
      <c r="C326" s="314">
        <v>2380613</v>
      </c>
      <c r="D326" s="313">
        <v>2380613</v>
      </c>
      <c r="E326" s="313">
        <v>1993533.33</v>
      </c>
      <c r="F326" s="313">
        <v>-387079.67</v>
      </c>
      <c r="G326" s="313">
        <v>2122654.92</v>
      </c>
      <c r="H326" s="313">
        <v>2210188.4700000002</v>
      </c>
    </row>
    <row r="327" spans="1:8" x14ac:dyDescent="0.2">
      <c r="A327" s="313">
        <v>1611000210</v>
      </c>
      <c r="B327" s="313" t="s">
        <v>246</v>
      </c>
      <c r="C327" s="314">
        <v>28001</v>
      </c>
      <c r="D327" s="313">
        <v>28001</v>
      </c>
      <c r="E327" s="313">
        <v>20148.62</v>
      </c>
      <c r="F327" s="313">
        <v>-7852.38</v>
      </c>
      <c r="G327" s="313">
        <v>22885.72</v>
      </c>
      <c r="H327" s="313">
        <v>1559.92</v>
      </c>
    </row>
    <row r="328" spans="1:8" x14ac:dyDescent="0.2">
      <c r="A328" s="313">
        <v>1611100110</v>
      </c>
      <c r="B328" s="313" t="s">
        <v>512</v>
      </c>
      <c r="C328" s="314">
        <v>1956547</v>
      </c>
      <c r="D328" s="313">
        <v>1956547</v>
      </c>
      <c r="E328" s="313">
        <v>1605399.95</v>
      </c>
      <c r="F328" s="313">
        <v>-351147.05</v>
      </c>
      <c r="G328" s="313">
        <v>1915246.03</v>
      </c>
      <c r="H328" s="313">
        <v>1838846.99</v>
      </c>
    </row>
    <row r="329" spans="1:8" x14ac:dyDescent="0.2">
      <c r="A329" s="313">
        <v>1612000110</v>
      </c>
      <c r="B329" s="313" t="s">
        <v>513</v>
      </c>
      <c r="C329" s="314">
        <v>427000</v>
      </c>
      <c r="D329" s="313">
        <v>427000</v>
      </c>
      <c r="E329" s="313">
        <v>374141.55</v>
      </c>
      <c r="F329" s="313">
        <v>-52858.45</v>
      </c>
      <c r="G329" s="313">
        <v>428032.72</v>
      </c>
      <c r="H329" s="313">
        <v>514480.67</v>
      </c>
    </row>
    <row r="330" spans="1:8" x14ac:dyDescent="0.2">
      <c r="A330" s="313">
        <v>1613000110</v>
      </c>
      <c r="B330" s="313" t="s">
        <v>514</v>
      </c>
      <c r="C330" s="314">
        <v>1271065</v>
      </c>
      <c r="D330" s="313">
        <v>1271065</v>
      </c>
      <c r="E330" s="313">
        <v>1062563.1100000001</v>
      </c>
      <c r="F330" s="313">
        <v>-208501.89</v>
      </c>
      <c r="G330" s="313">
        <v>1242369.94</v>
      </c>
      <c r="H330" s="313">
        <v>1233077.75</v>
      </c>
    </row>
    <row r="331" spans="1:8" x14ac:dyDescent="0.2">
      <c r="A331" s="313">
        <v>1614000110</v>
      </c>
      <c r="B331" s="313" t="s">
        <v>515</v>
      </c>
      <c r="C331" s="314">
        <v>703084</v>
      </c>
      <c r="D331" s="313">
        <v>703084</v>
      </c>
      <c r="E331" s="313">
        <v>596010.28</v>
      </c>
      <c r="F331" s="313">
        <v>-107073.72</v>
      </c>
      <c r="G331" s="313">
        <v>687031.81</v>
      </c>
      <c r="H331" s="313">
        <v>657665.74</v>
      </c>
    </row>
    <row r="332" spans="1:8" x14ac:dyDescent="0.2">
      <c r="A332" s="313">
        <v>1615000110</v>
      </c>
      <c r="B332" s="313" t="s">
        <v>516</v>
      </c>
      <c r="C332" s="314">
        <v>933397</v>
      </c>
      <c r="D332" s="313">
        <v>933397</v>
      </c>
      <c r="E332" s="313">
        <v>799258.42</v>
      </c>
      <c r="F332" s="313">
        <v>-134138.57999999999</v>
      </c>
      <c r="G332" s="313">
        <v>913877.64</v>
      </c>
      <c r="H332" s="313">
        <v>852231.74</v>
      </c>
    </row>
    <row r="333" spans="1:8" x14ac:dyDescent="0.2">
      <c r="A333" s="313">
        <v>1617000110</v>
      </c>
      <c r="B333" s="313" t="s">
        <v>517</v>
      </c>
      <c r="C333" s="314">
        <v>2181470</v>
      </c>
      <c r="D333" s="313">
        <v>2181470</v>
      </c>
      <c r="E333" s="313">
        <v>1752887.88</v>
      </c>
      <c r="F333" s="313">
        <v>-428582.12</v>
      </c>
      <c r="G333" s="313">
        <v>1882700.65</v>
      </c>
      <c r="H333" s="313">
        <v>1591664.38</v>
      </c>
    </row>
    <row r="334" spans="1:8" x14ac:dyDescent="0.2">
      <c r="A334" s="313">
        <v>1617000210</v>
      </c>
      <c r="B334" s="313" t="s">
        <v>247</v>
      </c>
      <c r="H334" s="313">
        <v>167.15</v>
      </c>
    </row>
    <row r="335" spans="1:8" x14ac:dyDescent="0.2">
      <c r="A335" s="313">
        <v>1619000110</v>
      </c>
      <c r="B335" s="313" t="s">
        <v>23</v>
      </c>
      <c r="H335" s="313">
        <v>71.25</v>
      </c>
    </row>
    <row r="336" spans="1:8" x14ac:dyDescent="0.2">
      <c r="A336" s="313">
        <v>1621100110</v>
      </c>
      <c r="B336" s="313" t="s">
        <v>518</v>
      </c>
      <c r="C336" s="314">
        <v>953046</v>
      </c>
      <c r="D336" s="313">
        <v>953046</v>
      </c>
      <c r="E336" s="313">
        <v>764868.14</v>
      </c>
      <c r="F336" s="313">
        <v>-188177.86</v>
      </c>
      <c r="G336" s="313">
        <v>926144.06</v>
      </c>
      <c r="H336" s="313">
        <v>871722.9</v>
      </c>
    </row>
    <row r="337" spans="1:8" x14ac:dyDescent="0.2">
      <c r="A337" s="313">
        <v>1621500110</v>
      </c>
      <c r="B337" s="313" t="s">
        <v>519</v>
      </c>
      <c r="C337" s="314">
        <v>630905</v>
      </c>
      <c r="D337" s="313">
        <v>630905</v>
      </c>
      <c r="E337" s="313">
        <v>549203.26</v>
      </c>
      <c r="F337" s="313">
        <v>-81701.740000000005</v>
      </c>
      <c r="G337" s="313">
        <v>596262.51</v>
      </c>
      <c r="H337" s="313">
        <v>556807.31999999995</v>
      </c>
    </row>
    <row r="338" spans="1:8" x14ac:dyDescent="0.2">
      <c r="A338" s="313">
        <v>1623000110</v>
      </c>
      <c r="B338" s="313" t="s">
        <v>520</v>
      </c>
      <c r="C338" s="314">
        <v>1329699</v>
      </c>
      <c r="D338" s="313">
        <v>1329699</v>
      </c>
      <c r="E338" s="313">
        <v>1054580.5</v>
      </c>
      <c r="F338" s="313">
        <v>-275118.5</v>
      </c>
      <c r="G338" s="313">
        <v>1220892.98</v>
      </c>
      <c r="H338" s="313">
        <v>1170198.18</v>
      </c>
    </row>
    <row r="339" spans="1:8" x14ac:dyDescent="0.2">
      <c r="A339" s="313">
        <v>1623000210</v>
      </c>
      <c r="B339" s="313" t="s">
        <v>1528</v>
      </c>
      <c r="H339" s="313">
        <v>32748.17</v>
      </c>
    </row>
    <row r="340" spans="1:8" x14ac:dyDescent="0.2">
      <c r="A340" s="313">
        <v>1624000110</v>
      </c>
      <c r="B340" s="313" t="s">
        <v>1603</v>
      </c>
      <c r="C340" s="314">
        <v>186794</v>
      </c>
      <c r="D340" s="313">
        <v>186794</v>
      </c>
      <c r="E340" s="313">
        <v>152662.20000000001</v>
      </c>
      <c r="F340" s="313">
        <v>-34131.800000000003</v>
      </c>
      <c r="G340" s="313">
        <v>48590.11</v>
      </c>
    </row>
    <row r="341" spans="1:8" x14ac:dyDescent="0.2">
      <c r="A341" s="313">
        <v>1711000110</v>
      </c>
      <c r="B341" s="313" t="s">
        <v>521</v>
      </c>
      <c r="C341" s="314">
        <v>1961152</v>
      </c>
      <c r="D341" s="313">
        <v>1961152</v>
      </c>
      <c r="E341" s="313">
        <v>1508814.13</v>
      </c>
      <c r="F341" s="313">
        <v>-452337.87</v>
      </c>
      <c r="G341" s="313">
        <v>1635740.48</v>
      </c>
      <c r="H341" s="313">
        <v>1516362.26</v>
      </c>
    </row>
    <row r="342" spans="1:8" x14ac:dyDescent="0.2">
      <c r="A342" s="313">
        <v>1711000210</v>
      </c>
      <c r="B342" s="313" t="s">
        <v>1483</v>
      </c>
      <c r="C342" s="314">
        <v>41000</v>
      </c>
      <c r="D342" s="313">
        <v>41000</v>
      </c>
      <c r="E342" s="313">
        <v>27847.68</v>
      </c>
      <c r="F342" s="313">
        <v>-13152.32</v>
      </c>
    </row>
    <row r="343" spans="1:8" x14ac:dyDescent="0.2">
      <c r="A343" s="313">
        <v>1712000110</v>
      </c>
      <c r="B343" s="313" t="s">
        <v>38</v>
      </c>
      <c r="C343" s="314">
        <v>2191081</v>
      </c>
      <c r="D343" s="313">
        <v>2191081</v>
      </c>
      <c r="E343" s="313">
        <v>1859998.08</v>
      </c>
      <c r="F343" s="313">
        <v>-331082.92</v>
      </c>
      <c r="G343" s="313">
        <v>2000301.48</v>
      </c>
      <c r="H343" s="313">
        <v>1856982.6</v>
      </c>
    </row>
    <row r="344" spans="1:8" x14ac:dyDescent="0.2">
      <c r="A344" s="313">
        <v>1712200110</v>
      </c>
      <c r="B344" s="313" t="s">
        <v>521</v>
      </c>
      <c r="C344" s="314">
        <v>202443</v>
      </c>
      <c r="D344" s="313">
        <v>202443</v>
      </c>
      <c r="E344" s="313">
        <v>200432.64000000001</v>
      </c>
      <c r="F344" s="313">
        <v>-2010.36</v>
      </c>
      <c r="G344" s="313">
        <v>212773.99</v>
      </c>
      <c r="H344" s="313">
        <v>213019.58</v>
      </c>
    </row>
    <row r="345" spans="1:8" x14ac:dyDescent="0.2">
      <c r="A345" s="313">
        <v>1712300110</v>
      </c>
      <c r="B345" s="313" t="s">
        <v>522</v>
      </c>
      <c r="C345" s="314">
        <v>677972</v>
      </c>
      <c r="D345" s="313">
        <v>677972</v>
      </c>
      <c r="E345" s="313">
        <v>601342.93999999994</v>
      </c>
      <c r="F345" s="313">
        <v>-76629.06</v>
      </c>
      <c r="G345" s="313">
        <v>673036.33</v>
      </c>
      <c r="H345" s="313">
        <v>640295.24</v>
      </c>
    </row>
    <row r="346" spans="1:8" x14ac:dyDescent="0.2">
      <c r="A346" s="313">
        <v>1712310110</v>
      </c>
      <c r="B346" s="313" t="s">
        <v>1520</v>
      </c>
      <c r="C346" s="314">
        <v>403980</v>
      </c>
      <c r="D346" s="313">
        <v>403980</v>
      </c>
      <c r="E346" s="313">
        <v>389969.78</v>
      </c>
      <c r="F346" s="313">
        <v>-14010.22</v>
      </c>
      <c r="G346" s="313">
        <v>402114.66</v>
      </c>
      <c r="H346" s="313">
        <v>171302.42</v>
      </c>
    </row>
    <row r="347" spans="1:8" x14ac:dyDescent="0.2">
      <c r="A347" s="313">
        <v>1712500110</v>
      </c>
      <c r="B347" s="313" t="s">
        <v>76</v>
      </c>
      <c r="C347" s="314">
        <v>126667</v>
      </c>
      <c r="D347" s="313">
        <v>126667</v>
      </c>
      <c r="E347" s="313">
        <v>0</v>
      </c>
      <c r="F347" s="313">
        <v>-126667</v>
      </c>
      <c r="H347" s="313">
        <v>1.47</v>
      </c>
    </row>
    <row r="348" spans="1:8" x14ac:dyDescent="0.2">
      <c r="A348" s="313">
        <v>1713200110</v>
      </c>
      <c r="B348" s="313" t="s">
        <v>523</v>
      </c>
      <c r="C348" s="314">
        <v>1353705</v>
      </c>
      <c r="D348" s="313">
        <v>1353705</v>
      </c>
      <c r="E348" s="313">
        <v>990607.23</v>
      </c>
      <c r="F348" s="313">
        <v>-363097.77</v>
      </c>
      <c r="G348" s="313">
        <v>1041806.27</v>
      </c>
      <c r="H348" s="313">
        <v>1070231.8</v>
      </c>
    </row>
    <row r="349" spans="1:8" x14ac:dyDescent="0.2">
      <c r="A349" s="313">
        <v>1714000110</v>
      </c>
      <c r="B349" s="313" t="s">
        <v>524</v>
      </c>
      <c r="C349" s="314">
        <v>860193</v>
      </c>
      <c r="D349" s="313">
        <v>860193</v>
      </c>
      <c r="E349" s="313">
        <v>749392.22</v>
      </c>
      <c r="F349" s="313">
        <v>-110800.78</v>
      </c>
      <c r="G349" s="313">
        <v>969577.41</v>
      </c>
      <c r="H349" s="313">
        <v>835458.97</v>
      </c>
    </row>
    <row r="350" spans="1:8" x14ac:dyDescent="0.2">
      <c r="A350" s="313">
        <v>1714000210</v>
      </c>
      <c r="B350" s="313" t="s">
        <v>524</v>
      </c>
      <c r="E350" s="313">
        <v>3703.06</v>
      </c>
      <c r="F350" s="313">
        <v>3703.06</v>
      </c>
      <c r="G350" s="313">
        <v>13839.04</v>
      </c>
      <c r="H350" s="313">
        <v>4790.42</v>
      </c>
    </row>
    <row r="351" spans="1:8" x14ac:dyDescent="0.2">
      <c r="A351" s="313">
        <v>1715200110</v>
      </c>
      <c r="B351" s="313" t="s">
        <v>523</v>
      </c>
      <c r="C351" s="314">
        <v>148487</v>
      </c>
      <c r="D351" s="313">
        <v>148487</v>
      </c>
      <c r="E351" s="313">
        <v>124232.46</v>
      </c>
      <c r="F351" s="313">
        <v>-24254.54</v>
      </c>
      <c r="G351" s="313">
        <v>143394.66</v>
      </c>
      <c r="H351" s="313">
        <v>141837.99</v>
      </c>
    </row>
    <row r="352" spans="1:8" x14ac:dyDescent="0.2">
      <c r="A352" s="313">
        <v>1721000110</v>
      </c>
      <c r="B352" s="313" t="s">
        <v>525</v>
      </c>
      <c r="C352" s="314">
        <v>309309</v>
      </c>
      <c r="D352" s="313">
        <v>309309</v>
      </c>
      <c r="E352" s="313">
        <v>391471.6</v>
      </c>
      <c r="F352" s="313">
        <v>82162.600000000006</v>
      </c>
      <c r="G352" s="313">
        <v>529630.61</v>
      </c>
      <c r="H352" s="313">
        <v>422305.05</v>
      </c>
    </row>
    <row r="353" spans="1:8" x14ac:dyDescent="0.2">
      <c r="A353" s="313">
        <v>1722000110</v>
      </c>
      <c r="B353" s="313" t="s">
        <v>523</v>
      </c>
      <c r="C353" s="314">
        <v>444519</v>
      </c>
      <c r="D353" s="313">
        <v>444519</v>
      </c>
      <c r="E353" s="313">
        <v>302829.65000000002</v>
      </c>
      <c r="F353" s="313">
        <v>-141689.35</v>
      </c>
      <c r="G353" s="313">
        <v>112470.85</v>
      </c>
      <c r="H353" s="313">
        <v>279608.75</v>
      </c>
    </row>
    <row r="354" spans="1:8" x14ac:dyDescent="0.2">
      <c r="A354" s="313">
        <v>1722000210</v>
      </c>
      <c r="B354" s="313" t="s">
        <v>526</v>
      </c>
      <c r="C354" s="314">
        <v>2133856</v>
      </c>
      <c r="D354" s="313">
        <v>2133856</v>
      </c>
      <c r="E354" s="313">
        <v>1693218.14</v>
      </c>
      <c r="F354" s="313">
        <v>-440637.86</v>
      </c>
      <c r="G354" s="313">
        <v>1857652.56</v>
      </c>
      <c r="H354" s="313">
        <v>1085373.56</v>
      </c>
    </row>
    <row r="355" spans="1:8" x14ac:dyDescent="0.2">
      <c r="A355" s="313">
        <v>1723000110</v>
      </c>
      <c r="B355" s="313" t="s">
        <v>527</v>
      </c>
      <c r="C355" s="314">
        <v>418816</v>
      </c>
      <c r="D355" s="313">
        <v>418816</v>
      </c>
      <c r="E355" s="313">
        <v>356985.5</v>
      </c>
      <c r="F355" s="313">
        <v>-61830.5</v>
      </c>
      <c r="G355" s="313">
        <v>416780.98</v>
      </c>
      <c r="H355" s="313">
        <v>394087.56</v>
      </c>
    </row>
    <row r="356" spans="1:8" x14ac:dyDescent="0.2">
      <c r="A356" s="313">
        <v>1726100110</v>
      </c>
      <c r="B356" s="313" t="s">
        <v>523</v>
      </c>
      <c r="C356" s="314">
        <v>242665</v>
      </c>
      <c r="D356" s="313">
        <v>242665</v>
      </c>
      <c r="E356" s="313">
        <v>206364.19</v>
      </c>
      <c r="F356" s="313">
        <v>-36300.81</v>
      </c>
      <c r="G356" s="313">
        <v>226149.85</v>
      </c>
      <c r="H356" s="313">
        <v>213368.01</v>
      </c>
    </row>
    <row r="357" spans="1:8" x14ac:dyDescent="0.2">
      <c r="A357" s="313">
        <v>1731000110</v>
      </c>
      <c r="B357" s="313" t="s">
        <v>528</v>
      </c>
      <c r="C357" s="314">
        <v>2230699</v>
      </c>
      <c r="D357" s="313">
        <v>2230699</v>
      </c>
      <c r="E357" s="313">
        <v>1819593.18</v>
      </c>
      <c r="F357" s="313">
        <v>-411105.82</v>
      </c>
      <c r="G357" s="313">
        <v>2040298.37</v>
      </c>
      <c r="H357" s="313">
        <v>2153378.39</v>
      </c>
    </row>
    <row r="358" spans="1:8" x14ac:dyDescent="0.2">
      <c r="A358" s="313">
        <v>1732000110</v>
      </c>
      <c r="B358" s="313" t="s">
        <v>528</v>
      </c>
      <c r="C358" s="314">
        <v>417265</v>
      </c>
      <c r="D358" s="313">
        <v>417265</v>
      </c>
      <c r="E358" s="313">
        <v>396249.71</v>
      </c>
      <c r="F358" s="313">
        <v>-21015.29</v>
      </c>
      <c r="G358" s="313">
        <v>481393.71</v>
      </c>
      <c r="H358" s="313">
        <v>720171.72</v>
      </c>
    </row>
    <row r="359" spans="1:8" x14ac:dyDescent="0.2">
      <c r="A359" s="313">
        <v>1733100110</v>
      </c>
      <c r="B359" s="313" t="s">
        <v>529</v>
      </c>
      <c r="C359" s="314">
        <v>1620404</v>
      </c>
      <c r="D359" s="313">
        <v>1620404</v>
      </c>
      <c r="E359" s="313">
        <v>1644656.16</v>
      </c>
      <c r="F359" s="313">
        <v>24252.16</v>
      </c>
      <c r="G359" s="313">
        <v>1698421.8</v>
      </c>
      <c r="H359" s="313">
        <v>1468627.1</v>
      </c>
    </row>
    <row r="360" spans="1:8" x14ac:dyDescent="0.2">
      <c r="A360" s="313">
        <v>1743000110</v>
      </c>
      <c r="B360" s="313" t="s">
        <v>523</v>
      </c>
      <c r="C360" s="314">
        <v>1242611</v>
      </c>
      <c r="D360" s="313">
        <v>1242611</v>
      </c>
      <c r="E360" s="313">
        <v>1121730.47</v>
      </c>
      <c r="F360" s="313">
        <v>-120880.53</v>
      </c>
      <c r="G360" s="313">
        <v>1300657.5</v>
      </c>
      <c r="H360" s="313">
        <v>1338661.03</v>
      </c>
    </row>
    <row r="361" spans="1:8" x14ac:dyDescent="0.2">
      <c r="A361" s="313">
        <v>1746000110</v>
      </c>
      <c r="B361" s="313" t="s">
        <v>523</v>
      </c>
      <c r="C361" s="314">
        <v>701032</v>
      </c>
      <c r="D361" s="313">
        <v>701032</v>
      </c>
      <c r="E361" s="313">
        <v>579867.98</v>
      </c>
      <c r="F361" s="313">
        <v>-121164.02</v>
      </c>
      <c r="G361" s="313">
        <v>298045.33</v>
      </c>
      <c r="H361" s="313">
        <v>338360.79</v>
      </c>
    </row>
    <row r="362" spans="1:8" x14ac:dyDescent="0.2">
      <c r="A362" s="313">
        <v>1746000210</v>
      </c>
      <c r="B362" s="313" t="s">
        <v>920</v>
      </c>
      <c r="C362" s="314">
        <v>367000</v>
      </c>
      <c r="D362" s="313">
        <v>367000</v>
      </c>
      <c r="E362" s="313">
        <v>201761.91</v>
      </c>
      <c r="F362" s="313">
        <v>-165238.09</v>
      </c>
    </row>
    <row r="363" spans="1:8" x14ac:dyDescent="0.2">
      <c r="A363" s="313">
        <v>1746100110</v>
      </c>
      <c r="B363" s="313" t="s">
        <v>530</v>
      </c>
      <c r="C363" s="314">
        <v>2516810</v>
      </c>
      <c r="D363" s="313">
        <v>2516810</v>
      </c>
      <c r="E363" s="313">
        <v>2204429.67</v>
      </c>
      <c r="F363" s="313">
        <v>-312380.33</v>
      </c>
      <c r="G363" s="313">
        <v>1857042.24</v>
      </c>
      <c r="H363" s="313">
        <v>2075693.16</v>
      </c>
    </row>
    <row r="364" spans="1:8" x14ac:dyDescent="0.2">
      <c r="A364" s="313">
        <v>1746100210</v>
      </c>
      <c r="B364" s="313" t="s">
        <v>249</v>
      </c>
      <c r="E364" s="313">
        <v>11895.78</v>
      </c>
      <c r="F364" s="313">
        <v>11895.78</v>
      </c>
      <c r="G364" s="313">
        <v>0</v>
      </c>
    </row>
    <row r="365" spans="1:8" x14ac:dyDescent="0.2">
      <c r="A365" s="313">
        <v>1747200110</v>
      </c>
      <c r="B365" s="313" t="s">
        <v>531</v>
      </c>
      <c r="C365" s="314">
        <v>256270</v>
      </c>
      <c r="D365" s="313">
        <v>256270</v>
      </c>
      <c r="E365" s="313">
        <v>171813.35</v>
      </c>
      <c r="F365" s="313">
        <v>-84456.65</v>
      </c>
      <c r="G365" s="313">
        <v>109834.74</v>
      </c>
    </row>
    <row r="366" spans="1:8" x14ac:dyDescent="0.2">
      <c r="A366" s="313">
        <v>1749000110</v>
      </c>
      <c r="B366" s="313" t="s">
        <v>523</v>
      </c>
      <c r="C366" s="314">
        <v>982176</v>
      </c>
      <c r="D366" s="313">
        <v>982176</v>
      </c>
      <c r="E366" s="313">
        <v>768241.67</v>
      </c>
      <c r="F366" s="313">
        <v>-213934.33</v>
      </c>
      <c r="G366" s="313">
        <v>958279.68000000005</v>
      </c>
      <c r="H366" s="313">
        <v>927978.7</v>
      </c>
    </row>
    <row r="367" spans="1:8" x14ac:dyDescent="0.2">
      <c r="A367" s="313">
        <v>1761000110</v>
      </c>
      <c r="B367" s="313" t="s">
        <v>532</v>
      </c>
      <c r="C367" s="314">
        <v>419654</v>
      </c>
      <c r="D367" s="313">
        <v>419654</v>
      </c>
      <c r="E367" s="313">
        <v>342643.77</v>
      </c>
      <c r="F367" s="313">
        <v>-77010.23</v>
      </c>
      <c r="G367" s="313">
        <v>341717.67</v>
      </c>
      <c r="H367" s="313">
        <v>322258.75</v>
      </c>
    </row>
    <row r="368" spans="1:8" x14ac:dyDescent="0.2">
      <c r="A368" s="313">
        <v>1761000210</v>
      </c>
      <c r="B368" s="313" t="s">
        <v>250</v>
      </c>
      <c r="E368" s="313">
        <v>41014.339999999997</v>
      </c>
      <c r="F368" s="313">
        <v>41014.339999999997</v>
      </c>
      <c r="G368" s="313">
        <v>48918.75</v>
      </c>
      <c r="H368" s="313">
        <v>51580.92</v>
      </c>
    </row>
    <row r="369" spans="1:8" x14ac:dyDescent="0.2">
      <c r="A369" s="313">
        <v>1764000110</v>
      </c>
      <c r="B369" s="313" t="s">
        <v>523</v>
      </c>
      <c r="C369" s="314">
        <v>85956</v>
      </c>
      <c r="D369" s="313">
        <v>85956</v>
      </c>
      <c r="E369" s="313">
        <v>70421.350000000006</v>
      </c>
      <c r="F369" s="313">
        <v>-15534.65</v>
      </c>
      <c r="G369" s="313">
        <v>81261.69</v>
      </c>
      <c r="H369" s="313">
        <v>79622.850000000006</v>
      </c>
    </row>
    <row r="370" spans="1:8" x14ac:dyDescent="0.2">
      <c r="A370" s="313">
        <v>1781000110</v>
      </c>
      <c r="B370" s="313" t="s">
        <v>523</v>
      </c>
      <c r="C370" s="314">
        <v>828952</v>
      </c>
      <c r="D370" s="313">
        <v>828952</v>
      </c>
      <c r="E370" s="313">
        <v>1060155.33</v>
      </c>
      <c r="F370" s="313">
        <v>231203.33</v>
      </c>
      <c r="G370" s="313">
        <v>1258114.77</v>
      </c>
      <c r="H370" s="313">
        <v>1761291.66</v>
      </c>
    </row>
    <row r="371" spans="1:8" x14ac:dyDescent="0.2">
      <c r="A371" s="313">
        <v>1781000210</v>
      </c>
      <c r="B371" s="313" t="s">
        <v>533</v>
      </c>
      <c r="H371" s="313">
        <v>99883.24</v>
      </c>
    </row>
    <row r="372" spans="1:8" x14ac:dyDescent="0.2">
      <c r="A372" s="313">
        <v>1781100110</v>
      </c>
      <c r="B372" s="313" t="s">
        <v>534</v>
      </c>
      <c r="C372" s="314">
        <v>634121</v>
      </c>
      <c r="D372" s="313">
        <v>634121</v>
      </c>
      <c r="E372" s="313">
        <v>575051.04</v>
      </c>
      <c r="F372" s="313">
        <v>-59069.96</v>
      </c>
      <c r="G372" s="313">
        <v>615927.54</v>
      </c>
      <c r="H372" s="313">
        <v>1056025.4099999999</v>
      </c>
    </row>
    <row r="373" spans="1:8" x14ac:dyDescent="0.2">
      <c r="A373" s="313">
        <v>1781200110</v>
      </c>
      <c r="B373" s="313" t="s">
        <v>1634</v>
      </c>
      <c r="C373" s="314">
        <v>1149731</v>
      </c>
      <c r="D373" s="313">
        <v>1149731</v>
      </c>
      <c r="E373" s="313">
        <v>598205.65</v>
      </c>
      <c r="F373" s="313">
        <v>-551525.35</v>
      </c>
    </row>
    <row r="374" spans="1:8" x14ac:dyDescent="0.2">
      <c r="A374" s="313">
        <v>1781200210</v>
      </c>
      <c r="B374" s="313" t="s">
        <v>1857</v>
      </c>
      <c r="C374" s="314">
        <v>214521</v>
      </c>
      <c r="D374" s="313">
        <v>214521</v>
      </c>
      <c r="E374" s="313">
        <v>204794.32</v>
      </c>
      <c r="F374" s="313">
        <v>-9726.68</v>
      </c>
    </row>
    <row r="375" spans="1:8" x14ac:dyDescent="0.2">
      <c r="A375" s="313">
        <v>1811000110</v>
      </c>
      <c r="B375" s="313" t="s">
        <v>523</v>
      </c>
      <c r="C375" s="314">
        <v>2822778</v>
      </c>
      <c r="D375" s="313">
        <v>2822778</v>
      </c>
      <c r="E375" s="313">
        <v>2410757.0099999998</v>
      </c>
      <c r="F375" s="313">
        <v>-412020.99</v>
      </c>
      <c r="G375" s="313">
        <v>2667250.16</v>
      </c>
      <c r="H375" s="313">
        <v>2679779.25</v>
      </c>
    </row>
    <row r="376" spans="1:8" x14ac:dyDescent="0.2">
      <c r="A376" s="313">
        <v>1822000110</v>
      </c>
      <c r="B376" s="313" t="s">
        <v>1150</v>
      </c>
      <c r="H376" s="313">
        <v>162.34</v>
      </c>
    </row>
    <row r="377" spans="1:8" x14ac:dyDescent="0.2">
      <c r="A377" s="313">
        <v>1823000110</v>
      </c>
      <c r="B377" s="313" t="s">
        <v>523</v>
      </c>
      <c r="C377" s="314">
        <v>659631</v>
      </c>
      <c r="D377" s="313">
        <v>659631</v>
      </c>
      <c r="E377" s="313">
        <v>563980.67000000004</v>
      </c>
      <c r="F377" s="313">
        <v>-95650.33</v>
      </c>
      <c r="G377" s="313">
        <v>626771.17000000004</v>
      </c>
      <c r="H377" s="313">
        <v>663561.03</v>
      </c>
    </row>
    <row r="378" spans="1:8" x14ac:dyDescent="0.2">
      <c r="A378" s="313">
        <v>1823000210</v>
      </c>
      <c r="B378" s="313" t="s">
        <v>244</v>
      </c>
      <c r="C378" s="314">
        <v>59073</v>
      </c>
      <c r="D378" s="313">
        <v>59073</v>
      </c>
      <c r="E378" s="313">
        <v>50251.99</v>
      </c>
      <c r="F378" s="313">
        <v>-8821.01</v>
      </c>
      <c r="G378" s="313">
        <v>56683.360000000001</v>
      </c>
      <c r="H378" s="313">
        <v>58426.15</v>
      </c>
    </row>
    <row r="379" spans="1:8" x14ac:dyDescent="0.2">
      <c r="A379" s="313">
        <v>1825200110</v>
      </c>
      <c r="B379" s="313" t="s">
        <v>523</v>
      </c>
      <c r="C379" s="314">
        <v>2345908</v>
      </c>
      <c r="D379" s="313">
        <v>2345908</v>
      </c>
      <c r="E379" s="313">
        <v>2033393.17</v>
      </c>
      <c r="F379" s="313">
        <v>-312514.83</v>
      </c>
      <c r="G379" s="313">
        <v>2233130.89</v>
      </c>
      <c r="H379" s="313">
        <v>2383371.9700000002</v>
      </c>
    </row>
    <row r="380" spans="1:8" x14ac:dyDescent="0.2">
      <c r="A380" s="313">
        <v>1825200210</v>
      </c>
      <c r="B380" s="313" t="s">
        <v>535</v>
      </c>
      <c r="C380" s="314">
        <v>1121832</v>
      </c>
      <c r="D380" s="313">
        <v>1121832</v>
      </c>
      <c r="E380" s="313">
        <v>973421.86</v>
      </c>
      <c r="F380" s="313">
        <v>-148410.14000000001</v>
      </c>
      <c r="G380" s="313">
        <v>1001054.34</v>
      </c>
      <c r="H380" s="313">
        <v>964479.03</v>
      </c>
    </row>
    <row r="381" spans="1:8" x14ac:dyDescent="0.2">
      <c r="A381" s="313">
        <v>1829300110</v>
      </c>
      <c r="B381" s="313" t="s">
        <v>536</v>
      </c>
      <c r="C381" s="314">
        <v>67626</v>
      </c>
      <c r="D381" s="313">
        <v>67626</v>
      </c>
      <c r="E381" s="313">
        <v>62969.34</v>
      </c>
      <c r="F381" s="313">
        <v>-4656.66</v>
      </c>
      <c r="G381" s="313">
        <v>216219.31</v>
      </c>
      <c r="H381" s="313">
        <v>226507.4</v>
      </c>
    </row>
    <row r="382" spans="1:8" x14ac:dyDescent="0.2">
      <c r="A382" s="313">
        <v>1829300210</v>
      </c>
      <c r="B382" s="313" t="s">
        <v>251</v>
      </c>
      <c r="C382" s="314">
        <v>20885</v>
      </c>
      <c r="D382" s="313">
        <v>20885</v>
      </c>
      <c r="E382" s="313">
        <v>20720</v>
      </c>
      <c r="F382" s="313">
        <v>-165</v>
      </c>
      <c r="G382" s="313">
        <v>68487.37</v>
      </c>
      <c r="H382" s="313">
        <v>46911.16</v>
      </c>
    </row>
    <row r="383" spans="1:8" x14ac:dyDescent="0.2">
      <c r="A383" s="313">
        <v>1829900110</v>
      </c>
      <c r="B383" s="313" t="s">
        <v>537</v>
      </c>
      <c r="C383" s="314">
        <v>164974</v>
      </c>
      <c r="D383" s="313">
        <v>164974</v>
      </c>
      <c r="E383" s="313">
        <v>146194.67000000001</v>
      </c>
      <c r="F383" s="313">
        <v>-18779.330000000002</v>
      </c>
      <c r="G383" s="313">
        <v>152875.71</v>
      </c>
      <c r="H383" s="313">
        <v>145040.37</v>
      </c>
    </row>
    <row r="384" spans="1:8" x14ac:dyDescent="0.2">
      <c r="A384" s="313">
        <v>1869000110</v>
      </c>
      <c r="B384" s="313" t="s">
        <v>538</v>
      </c>
      <c r="C384" s="314">
        <v>453006</v>
      </c>
      <c r="D384" s="313">
        <v>453006</v>
      </c>
      <c r="E384" s="313">
        <v>381510.39</v>
      </c>
      <c r="F384" s="313">
        <v>-71495.61</v>
      </c>
      <c r="G384" s="313">
        <v>429895.52</v>
      </c>
      <c r="H384" s="313">
        <v>410621.24</v>
      </c>
    </row>
    <row r="385" spans="1:8" x14ac:dyDescent="0.2">
      <c r="A385" s="313">
        <v>1913000110</v>
      </c>
      <c r="B385" s="313" t="s">
        <v>523</v>
      </c>
      <c r="G385" s="313">
        <v>478238.43</v>
      </c>
      <c r="H385" s="313">
        <v>653777.37</v>
      </c>
    </row>
    <row r="386" spans="1:8" x14ac:dyDescent="0.2">
      <c r="A386" s="313">
        <v>1931000110</v>
      </c>
      <c r="B386" s="313" t="s">
        <v>523</v>
      </c>
      <c r="C386" s="314">
        <v>242738</v>
      </c>
      <c r="D386" s="313">
        <v>242738</v>
      </c>
      <c r="E386" s="313">
        <v>236992.1</v>
      </c>
      <c r="F386" s="313">
        <v>-5745.9</v>
      </c>
      <c r="G386" s="313">
        <v>226149.19</v>
      </c>
      <c r="H386" s="313">
        <v>168802.39</v>
      </c>
    </row>
    <row r="387" spans="1:8" x14ac:dyDescent="0.2">
      <c r="A387" s="313">
        <v>1937000110</v>
      </c>
      <c r="B387" s="313" t="s">
        <v>523</v>
      </c>
      <c r="C387" s="314">
        <v>175180</v>
      </c>
      <c r="D387" s="313">
        <v>175180</v>
      </c>
      <c r="E387" s="313">
        <v>140637.69</v>
      </c>
      <c r="F387" s="313">
        <v>-34542.31</v>
      </c>
      <c r="G387" s="313">
        <v>166498.60999999999</v>
      </c>
      <c r="H387" s="313">
        <v>160745.81</v>
      </c>
    </row>
    <row r="388" spans="1:8" x14ac:dyDescent="0.2">
      <c r="A388" s="313">
        <v>1938000110</v>
      </c>
      <c r="B388" s="313" t="s">
        <v>523</v>
      </c>
      <c r="C388" s="314">
        <v>1115257</v>
      </c>
      <c r="D388" s="313">
        <v>1115257</v>
      </c>
      <c r="E388" s="313">
        <v>1122437.24</v>
      </c>
      <c r="F388" s="313">
        <v>7180.24</v>
      </c>
      <c r="G388" s="313">
        <v>1151114.51</v>
      </c>
      <c r="H388" s="313">
        <v>934137.61</v>
      </c>
    </row>
    <row r="389" spans="1:8" x14ac:dyDescent="0.2">
      <c r="A389" s="313">
        <v>1938100110</v>
      </c>
      <c r="B389" s="313" t="s">
        <v>523</v>
      </c>
      <c r="C389" s="314">
        <v>383515</v>
      </c>
      <c r="D389" s="313">
        <v>383515</v>
      </c>
      <c r="E389" s="313">
        <v>345485.78</v>
      </c>
      <c r="F389" s="313">
        <v>-38029.22</v>
      </c>
      <c r="G389" s="313">
        <v>390418.68</v>
      </c>
      <c r="H389" s="313">
        <v>737946.95</v>
      </c>
    </row>
    <row r="390" spans="1:8" x14ac:dyDescent="0.2">
      <c r="A390" s="313">
        <v>1939000110</v>
      </c>
      <c r="B390" s="313" t="s">
        <v>523</v>
      </c>
      <c r="C390" s="314">
        <v>1516053</v>
      </c>
      <c r="D390" s="313">
        <v>1516053</v>
      </c>
      <c r="E390" s="313">
        <v>1290142.57</v>
      </c>
      <c r="F390" s="313">
        <v>-225910.43</v>
      </c>
      <c r="G390" s="313">
        <v>1534993.33</v>
      </c>
      <c r="H390" s="313">
        <v>1900700.04</v>
      </c>
    </row>
    <row r="391" spans="1:8" x14ac:dyDescent="0.2">
      <c r="A391" s="313">
        <v>1939000210</v>
      </c>
      <c r="B391" s="313" t="s">
        <v>1475</v>
      </c>
      <c r="H391" s="313">
        <v>23430.97</v>
      </c>
    </row>
    <row r="392" spans="1:8" x14ac:dyDescent="0.2">
      <c r="A392" s="313">
        <v>1972000110</v>
      </c>
      <c r="B392" s="313" t="s">
        <v>523</v>
      </c>
      <c r="H392" s="313">
        <v>-0.01</v>
      </c>
    </row>
    <row r="393" spans="1:8" x14ac:dyDescent="0.2">
      <c r="A393" s="313">
        <v>1980000310</v>
      </c>
      <c r="B393" s="313" t="s">
        <v>539</v>
      </c>
      <c r="C393" s="314">
        <v>25000</v>
      </c>
      <c r="D393" s="313">
        <v>25000</v>
      </c>
      <c r="E393" s="313">
        <v>21563.91</v>
      </c>
      <c r="F393" s="313">
        <v>-3436.09</v>
      </c>
      <c r="G393" s="313">
        <v>20539</v>
      </c>
      <c r="H393" s="313">
        <v>27665</v>
      </c>
    </row>
    <row r="394" spans="1:8" x14ac:dyDescent="0.2">
      <c r="A394" s="313">
        <v>1980000312</v>
      </c>
      <c r="B394" s="313" t="s">
        <v>540</v>
      </c>
      <c r="C394" s="314">
        <v>265000</v>
      </c>
      <c r="D394" s="313">
        <v>265000</v>
      </c>
      <c r="E394" s="313">
        <v>170948.88</v>
      </c>
      <c r="F394" s="313">
        <v>-94051.12</v>
      </c>
      <c r="G394" s="313">
        <v>225773.16</v>
      </c>
      <c r="H394" s="313">
        <v>265660.24</v>
      </c>
    </row>
    <row r="395" spans="1:8" x14ac:dyDescent="0.2">
      <c r="A395" s="313">
        <v>1991000110</v>
      </c>
      <c r="B395" s="313" t="s">
        <v>1267</v>
      </c>
      <c r="C395" s="314">
        <v>82500</v>
      </c>
      <c r="D395" s="313">
        <v>82500</v>
      </c>
      <c r="F395" s="313">
        <v>-82500</v>
      </c>
      <c r="H395" s="313">
        <v>-16385</v>
      </c>
    </row>
    <row r="396" spans="1:8" x14ac:dyDescent="0.2">
      <c r="A396" s="313">
        <v>1991000310</v>
      </c>
      <c r="B396" s="313" t="s">
        <v>539</v>
      </c>
      <c r="C396" s="314">
        <v>32124307</v>
      </c>
      <c r="D396" s="313">
        <v>32124307</v>
      </c>
      <c r="E396" s="313">
        <v>26650990.489999998</v>
      </c>
      <c r="F396" s="313">
        <v>-5473316.5099999998</v>
      </c>
      <c r="G396" s="313">
        <v>32019944.600000001</v>
      </c>
      <c r="H396" s="313">
        <v>31767646.460000001</v>
      </c>
    </row>
    <row r="397" spans="1:8" x14ac:dyDescent="0.2">
      <c r="A397" s="313">
        <v>1991000320</v>
      </c>
      <c r="B397" s="313" t="s">
        <v>541</v>
      </c>
      <c r="C397" s="314">
        <v>910000</v>
      </c>
      <c r="D397" s="313">
        <v>910000</v>
      </c>
      <c r="E397" s="313">
        <v>1173334.81</v>
      </c>
      <c r="F397" s="313">
        <v>263334.81</v>
      </c>
      <c r="G397" s="313">
        <v>2062041.5</v>
      </c>
      <c r="H397" s="313">
        <v>5993783.2999999998</v>
      </c>
    </row>
    <row r="398" spans="1:8" x14ac:dyDescent="0.2">
      <c r="A398" s="313" t="s">
        <v>277</v>
      </c>
      <c r="B398" s="313" t="s">
        <v>510</v>
      </c>
      <c r="C398" s="314">
        <v>82719931</v>
      </c>
      <c r="D398" s="313">
        <v>82719931</v>
      </c>
      <c r="E398" s="313">
        <v>69740724.790000007</v>
      </c>
      <c r="F398" s="313">
        <v>-12979206.210000001</v>
      </c>
      <c r="G398" s="313">
        <v>79059950.890000001</v>
      </c>
      <c r="H398" s="313">
        <v>82966761.099999994</v>
      </c>
    </row>
    <row r="399" spans="1:8" x14ac:dyDescent="0.2">
      <c r="A399" s="313" t="s">
        <v>542</v>
      </c>
      <c r="B399" s="313" t="s">
        <v>543</v>
      </c>
    </row>
    <row r="400" spans="1:8" x14ac:dyDescent="0.2">
      <c r="A400" s="313">
        <v>1611000511</v>
      </c>
      <c r="B400" s="313" t="s">
        <v>544</v>
      </c>
      <c r="C400" s="314">
        <v>60000</v>
      </c>
      <c r="D400" s="313">
        <v>60000</v>
      </c>
      <c r="E400" s="313">
        <v>41669.5</v>
      </c>
      <c r="F400" s="313">
        <v>-18330.5</v>
      </c>
      <c r="G400" s="313">
        <v>47950.61</v>
      </c>
      <c r="H400" s="313">
        <v>50163.78</v>
      </c>
    </row>
    <row r="401" spans="1:8" x14ac:dyDescent="0.2">
      <c r="A401" s="313">
        <v>1611000512</v>
      </c>
      <c r="B401" s="313" t="s">
        <v>545</v>
      </c>
      <c r="C401" s="314">
        <v>8500</v>
      </c>
      <c r="D401" s="313">
        <v>8500</v>
      </c>
      <c r="E401" s="313">
        <v>8340.58</v>
      </c>
      <c r="F401" s="313">
        <v>-159.41999999999999</v>
      </c>
      <c r="G401" s="313">
        <v>6824</v>
      </c>
      <c r="H401" s="313">
        <v>2042.2</v>
      </c>
    </row>
    <row r="402" spans="1:8" x14ac:dyDescent="0.2">
      <c r="A402" s="313">
        <v>1611000514</v>
      </c>
      <c r="B402" s="313" t="s">
        <v>546</v>
      </c>
      <c r="C402" s="314">
        <v>5000</v>
      </c>
      <c r="D402" s="313">
        <v>5000</v>
      </c>
      <c r="F402" s="313">
        <v>-5000</v>
      </c>
      <c r="G402" s="313">
        <v>2949.5</v>
      </c>
      <c r="H402" s="313">
        <v>6292</v>
      </c>
    </row>
    <row r="403" spans="1:8" x14ac:dyDescent="0.2">
      <c r="A403" s="313">
        <v>1611000521</v>
      </c>
      <c r="B403" s="313" t="s">
        <v>547</v>
      </c>
      <c r="C403" s="314">
        <v>15000</v>
      </c>
      <c r="D403" s="313">
        <v>15000</v>
      </c>
      <c r="E403" s="313">
        <v>11829.04</v>
      </c>
      <c r="F403" s="313">
        <v>-3170.96</v>
      </c>
      <c r="G403" s="313">
        <v>9136.25</v>
      </c>
      <c r="H403" s="313">
        <v>15780</v>
      </c>
    </row>
    <row r="404" spans="1:8" x14ac:dyDescent="0.2">
      <c r="A404" s="313">
        <v>1611000522</v>
      </c>
      <c r="B404" s="313" t="s">
        <v>548</v>
      </c>
      <c r="C404" s="314">
        <v>20500</v>
      </c>
      <c r="D404" s="313">
        <v>20500</v>
      </c>
      <c r="E404" s="313">
        <v>18816.47</v>
      </c>
      <c r="F404" s="313">
        <v>-1683.53</v>
      </c>
      <c r="G404" s="313">
        <v>18711.919999999998</v>
      </c>
      <c r="H404" s="313">
        <v>23561.759999999998</v>
      </c>
    </row>
    <row r="405" spans="1:8" x14ac:dyDescent="0.2">
      <c r="A405" s="313">
        <v>1611000523</v>
      </c>
      <c r="B405" s="313" t="s">
        <v>549</v>
      </c>
      <c r="C405" s="314">
        <v>3800</v>
      </c>
      <c r="D405" s="313">
        <v>3800</v>
      </c>
      <c r="F405" s="313">
        <v>-3800</v>
      </c>
      <c r="G405" s="313">
        <v>3800</v>
      </c>
      <c r="H405" s="313">
        <v>3000</v>
      </c>
    </row>
    <row r="406" spans="1:8" x14ac:dyDescent="0.2">
      <c r="A406" s="313">
        <v>1611000530</v>
      </c>
      <c r="B406" s="313" t="s">
        <v>13</v>
      </c>
      <c r="H406" s="313">
        <v>69.09</v>
      </c>
    </row>
    <row r="407" spans="1:8" x14ac:dyDescent="0.2">
      <c r="A407" s="313">
        <v>1611000560</v>
      </c>
      <c r="B407" s="313" t="s">
        <v>550</v>
      </c>
      <c r="C407" s="314">
        <v>18000</v>
      </c>
      <c r="D407" s="313">
        <v>18000</v>
      </c>
      <c r="E407" s="313">
        <v>9177.1</v>
      </c>
      <c r="F407" s="313">
        <v>-8822.9</v>
      </c>
      <c r="G407" s="313">
        <v>19169.810000000001</v>
      </c>
      <c r="H407" s="313">
        <v>8527.3799999999992</v>
      </c>
    </row>
    <row r="408" spans="1:8" x14ac:dyDescent="0.2">
      <c r="A408" s="313">
        <v>1611000580</v>
      </c>
      <c r="B408" s="313" t="s">
        <v>551</v>
      </c>
      <c r="C408" s="314">
        <v>10200</v>
      </c>
      <c r="D408" s="313">
        <v>10200</v>
      </c>
      <c r="E408" s="313">
        <v>3588.26</v>
      </c>
      <c r="F408" s="313">
        <v>-6611.74</v>
      </c>
      <c r="G408" s="313">
        <v>22229.75</v>
      </c>
      <c r="H408" s="313">
        <v>19185.82</v>
      </c>
    </row>
    <row r="409" spans="1:8" x14ac:dyDescent="0.2">
      <c r="A409" s="313">
        <v>1611000581</v>
      </c>
      <c r="B409" s="313" t="s">
        <v>1741</v>
      </c>
      <c r="C409" s="314">
        <v>12300</v>
      </c>
      <c r="D409" s="313">
        <v>12300</v>
      </c>
      <c r="E409" s="313">
        <v>3807.94</v>
      </c>
      <c r="F409" s="313">
        <v>-8492.06</v>
      </c>
    </row>
    <row r="410" spans="1:8" x14ac:dyDescent="0.2">
      <c r="A410" s="313">
        <v>1611000760</v>
      </c>
      <c r="B410" s="313" t="s">
        <v>552</v>
      </c>
      <c r="C410" s="314">
        <v>20270</v>
      </c>
      <c r="D410" s="313">
        <v>20270</v>
      </c>
      <c r="E410" s="313">
        <v>12480.15</v>
      </c>
      <c r="F410" s="313">
        <v>-7789.85</v>
      </c>
      <c r="G410" s="313">
        <v>18899.88</v>
      </c>
      <c r="H410" s="313">
        <v>18919.88</v>
      </c>
    </row>
    <row r="411" spans="1:8" x14ac:dyDescent="0.2">
      <c r="A411" s="313">
        <v>1611000780</v>
      </c>
      <c r="B411" s="313" t="s">
        <v>553</v>
      </c>
      <c r="C411" s="314">
        <v>35000</v>
      </c>
      <c r="D411" s="313">
        <v>35000</v>
      </c>
      <c r="E411" s="313">
        <v>8288.99</v>
      </c>
      <c r="F411" s="313">
        <v>-26711.01</v>
      </c>
      <c r="G411" s="313">
        <v>33872.639999999999</v>
      </c>
      <c r="H411" s="313">
        <v>31531.73</v>
      </c>
    </row>
    <row r="412" spans="1:8" x14ac:dyDescent="0.2">
      <c r="A412" s="313">
        <v>1611000930</v>
      </c>
      <c r="B412" s="313" t="s">
        <v>554</v>
      </c>
      <c r="C412" s="314">
        <v>25000</v>
      </c>
      <c r="D412" s="313">
        <v>25000</v>
      </c>
      <c r="E412" s="313">
        <v>9034.6</v>
      </c>
      <c r="F412" s="313">
        <v>-15965.4</v>
      </c>
      <c r="G412" s="313">
        <v>24738</v>
      </c>
      <c r="H412" s="313">
        <v>12744.6</v>
      </c>
    </row>
    <row r="413" spans="1:8" x14ac:dyDescent="0.2">
      <c r="A413" s="313">
        <v>1611000970</v>
      </c>
      <c r="B413" s="313" t="s">
        <v>555</v>
      </c>
      <c r="C413" s="314">
        <v>96000</v>
      </c>
      <c r="D413" s="313">
        <v>96000</v>
      </c>
      <c r="E413" s="313">
        <v>72000</v>
      </c>
      <c r="F413" s="313">
        <v>-24000</v>
      </c>
      <c r="G413" s="313">
        <v>96000</v>
      </c>
      <c r="H413" s="313">
        <v>96000</v>
      </c>
    </row>
    <row r="414" spans="1:8" x14ac:dyDescent="0.2">
      <c r="A414" s="313">
        <v>1611000980</v>
      </c>
      <c r="B414" s="313" t="s">
        <v>556</v>
      </c>
      <c r="C414" s="314">
        <v>175500</v>
      </c>
      <c r="D414" s="313">
        <v>175500</v>
      </c>
      <c r="E414" s="313">
        <v>115009.14</v>
      </c>
      <c r="F414" s="313">
        <v>-60490.86</v>
      </c>
      <c r="G414" s="313">
        <v>170956.13</v>
      </c>
      <c r="H414" s="313">
        <v>130126.23</v>
      </c>
    </row>
    <row r="415" spans="1:8" x14ac:dyDescent="0.2">
      <c r="A415" s="313">
        <v>1611000981</v>
      </c>
      <c r="B415" s="313" t="s">
        <v>1577</v>
      </c>
      <c r="C415" s="314">
        <v>100000</v>
      </c>
      <c r="D415" s="313">
        <v>100000</v>
      </c>
      <c r="E415" s="313">
        <v>51189.43</v>
      </c>
      <c r="F415" s="313">
        <v>-48810.57</v>
      </c>
      <c r="G415" s="313">
        <v>51480.86</v>
      </c>
    </row>
    <row r="416" spans="1:8" x14ac:dyDescent="0.2">
      <c r="A416" s="313">
        <v>1611001530</v>
      </c>
      <c r="B416" s="313" t="s">
        <v>1930</v>
      </c>
      <c r="C416" s="314">
        <v>94242</v>
      </c>
      <c r="D416" s="313">
        <v>94242</v>
      </c>
      <c r="E416" s="313">
        <v>85047.91</v>
      </c>
      <c r="F416" s="313">
        <v>-9194.09</v>
      </c>
      <c r="G416" s="313">
        <v>101673.63</v>
      </c>
      <c r="H416" s="313">
        <v>105517.54</v>
      </c>
    </row>
    <row r="417" spans="1:8" x14ac:dyDescent="0.2">
      <c r="A417" s="313">
        <v>1611002731</v>
      </c>
      <c r="B417" s="313" t="s">
        <v>1743</v>
      </c>
      <c r="C417" s="314">
        <v>16361</v>
      </c>
      <c r="D417" s="313">
        <v>16361</v>
      </c>
      <c r="E417" s="313">
        <v>3387.78</v>
      </c>
      <c r="F417" s="313">
        <v>-12973.22</v>
      </c>
      <c r="G417" s="313">
        <v>13037.35</v>
      </c>
      <c r="H417" s="313">
        <v>14509.53</v>
      </c>
    </row>
    <row r="418" spans="1:8" x14ac:dyDescent="0.2">
      <c r="A418" s="313">
        <v>1611100441</v>
      </c>
      <c r="B418" s="313" t="s">
        <v>558</v>
      </c>
      <c r="C418" s="314">
        <v>71467</v>
      </c>
      <c r="D418" s="313">
        <v>71467</v>
      </c>
      <c r="E418" s="313">
        <v>150777</v>
      </c>
      <c r="F418" s="313">
        <v>79310</v>
      </c>
      <c r="G418" s="313">
        <v>52265</v>
      </c>
      <c r="H418" s="313">
        <v>60000</v>
      </c>
    </row>
    <row r="419" spans="1:8" x14ac:dyDescent="0.2">
      <c r="A419" s="313">
        <v>1611100530</v>
      </c>
      <c r="B419" s="313" t="s">
        <v>99</v>
      </c>
      <c r="G419" s="313">
        <v>37587.269999999997</v>
      </c>
      <c r="H419" s="313">
        <v>78727.210000000006</v>
      </c>
    </row>
    <row r="420" spans="1:8" x14ac:dyDescent="0.2">
      <c r="A420" s="313">
        <v>1611120530</v>
      </c>
      <c r="B420" s="313" t="s">
        <v>1744</v>
      </c>
      <c r="C420" s="314">
        <v>87078</v>
      </c>
      <c r="D420" s="313">
        <v>87078</v>
      </c>
      <c r="E420" s="313">
        <v>61248.11</v>
      </c>
      <c r="F420" s="313">
        <v>-25829.89</v>
      </c>
      <c r="G420" s="313">
        <v>82083.22</v>
      </c>
      <c r="H420" s="313">
        <v>90119.03</v>
      </c>
    </row>
    <row r="421" spans="1:8" x14ac:dyDescent="0.2">
      <c r="A421" s="313">
        <v>1612000440</v>
      </c>
      <c r="B421" s="313" t="s">
        <v>561</v>
      </c>
      <c r="C421" s="314">
        <v>9908</v>
      </c>
      <c r="D421" s="313">
        <v>9908</v>
      </c>
      <c r="E421" s="313">
        <v>9082.44</v>
      </c>
      <c r="F421" s="313">
        <v>-825.56</v>
      </c>
      <c r="G421" s="313">
        <v>18079.45</v>
      </c>
      <c r="H421" s="313">
        <v>21211.8</v>
      </c>
    </row>
    <row r="422" spans="1:8" x14ac:dyDescent="0.2">
      <c r="A422" s="313">
        <v>1612000511</v>
      </c>
      <c r="B422" s="313" t="s">
        <v>19</v>
      </c>
      <c r="C422" s="314">
        <v>500</v>
      </c>
      <c r="D422" s="313">
        <v>500</v>
      </c>
      <c r="F422" s="313">
        <v>-500</v>
      </c>
      <c r="G422" s="313">
        <v>1000</v>
      </c>
      <c r="H422" s="313">
        <v>1000</v>
      </c>
    </row>
    <row r="423" spans="1:8" x14ac:dyDescent="0.2">
      <c r="A423" s="313">
        <v>1612000521</v>
      </c>
      <c r="B423" s="313" t="s">
        <v>562</v>
      </c>
      <c r="C423" s="314">
        <v>5148</v>
      </c>
      <c r="D423" s="313">
        <v>5148</v>
      </c>
      <c r="E423" s="313">
        <v>4148</v>
      </c>
      <c r="F423" s="313">
        <v>-1000</v>
      </c>
      <c r="G423" s="313">
        <v>3600</v>
      </c>
      <c r="H423" s="313">
        <v>2600</v>
      </c>
    </row>
    <row r="424" spans="1:8" x14ac:dyDescent="0.2">
      <c r="A424" s="313">
        <v>1612000522</v>
      </c>
      <c r="B424" s="313" t="s">
        <v>563</v>
      </c>
      <c r="G424" s="313">
        <v>1000</v>
      </c>
    </row>
    <row r="425" spans="1:8" x14ac:dyDescent="0.2">
      <c r="A425" s="313">
        <v>1612000523</v>
      </c>
      <c r="B425" s="313" t="s">
        <v>564</v>
      </c>
      <c r="C425" s="314">
        <v>1100</v>
      </c>
      <c r="D425" s="313">
        <v>1100</v>
      </c>
      <c r="E425" s="313">
        <v>1100</v>
      </c>
      <c r="G425" s="313">
        <v>1100</v>
      </c>
      <c r="H425" s="313">
        <v>1000</v>
      </c>
    </row>
    <row r="426" spans="1:8" x14ac:dyDescent="0.2">
      <c r="A426" s="313">
        <v>1612000530</v>
      </c>
      <c r="B426" s="313" t="s">
        <v>1531</v>
      </c>
      <c r="C426" s="314">
        <v>77686</v>
      </c>
      <c r="D426" s="313">
        <v>77686</v>
      </c>
      <c r="E426" s="313">
        <v>55844.99</v>
      </c>
      <c r="F426" s="313">
        <v>-21841.01</v>
      </c>
      <c r="G426" s="313">
        <v>69870.45</v>
      </c>
      <c r="H426" s="313">
        <v>74247.97</v>
      </c>
    </row>
    <row r="427" spans="1:8" x14ac:dyDescent="0.2">
      <c r="A427" s="313">
        <v>1612000560</v>
      </c>
      <c r="B427" s="313" t="s">
        <v>566</v>
      </c>
      <c r="C427" s="314">
        <v>700</v>
      </c>
      <c r="D427" s="313">
        <v>700</v>
      </c>
      <c r="E427" s="313">
        <v>545.53</v>
      </c>
      <c r="F427" s="313">
        <v>-154.47</v>
      </c>
      <c r="G427" s="313">
        <v>690.8</v>
      </c>
      <c r="H427" s="313">
        <v>556.63</v>
      </c>
    </row>
    <row r="428" spans="1:8" x14ac:dyDescent="0.2">
      <c r="A428" s="313">
        <v>1612000581</v>
      </c>
      <c r="B428" s="313" t="s">
        <v>1745</v>
      </c>
      <c r="C428" s="314">
        <v>300</v>
      </c>
      <c r="D428" s="313">
        <v>300</v>
      </c>
      <c r="E428" s="313">
        <v>266.82</v>
      </c>
      <c r="F428" s="313">
        <v>-33.18</v>
      </c>
    </row>
    <row r="429" spans="1:8" x14ac:dyDescent="0.2">
      <c r="A429" s="313">
        <v>1612000780</v>
      </c>
      <c r="B429" s="313" t="s">
        <v>567</v>
      </c>
      <c r="C429" s="314">
        <v>6000</v>
      </c>
      <c r="D429" s="313">
        <v>6000</v>
      </c>
      <c r="E429" s="313">
        <v>5723</v>
      </c>
      <c r="F429" s="313">
        <v>-277</v>
      </c>
      <c r="G429" s="313">
        <v>3519</v>
      </c>
      <c r="H429" s="313">
        <v>6991.28</v>
      </c>
    </row>
    <row r="430" spans="1:8" x14ac:dyDescent="0.2">
      <c r="A430" s="313">
        <v>1613000440</v>
      </c>
      <c r="B430" s="313" t="s">
        <v>558</v>
      </c>
      <c r="C430" s="314">
        <v>9908</v>
      </c>
      <c r="D430" s="313">
        <v>9908</v>
      </c>
      <c r="E430" s="313">
        <v>9082.44</v>
      </c>
      <c r="F430" s="313">
        <v>-825.56</v>
      </c>
      <c r="G430" s="313">
        <v>18079.45</v>
      </c>
      <c r="H430" s="313">
        <v>21211.8</v>
      </c>
    </row>
    <row r="431" spans="1:8" x14ac:dyDescent="0.2">
      <c r="A431" s="313">
        <v>1613000470</v>
      </c>
      <c r="B431" s="313" t="s">
        <v>569</v>
      </c>
      <c r="H431" s="313">
        <v>1104</v>
      </c>
    </row>
    <row r="432" spans="1:8" x14ac:dyDescent="0.2">
      <c r="A432" s="313">
        <v>1613000511</v>
      </c>
      <c r="B432" s="313" t="s">
        <v>1746</v>
      </c>
      <c r="C432" s="314">
        <v>2000</v>
      </c>
      <c r="D432" s="313">
        <v>2000</v>
      </c>
      <c r="E432" s="313">
        <v>1187.76</v>
      </c>
      <c r="F432" s="313">
        <v>-812.24</v>
      </c>
    </row>
    <row r="433" spans="1:8" x14ac:dyDescent="0.2">
      <c r="A433" s="313">
        <v>1613000512</v>
      </c>
      <c r="B433" s="313" t="s">
        <v>570</v>
      </c>
      <c r="C433" s="314">
        <v>2000</v>
      </c>
      <c r="D433" s="313">
        <v>2000</v>
      </c>
      <c r="E433" s="313">
        <v>1979.18</v>
      </c>
      <c r="F433" s="313">
        <v>-20.82</v>
      </c>
    </row>
    <row r="434" spans="1:8" x14ac:dyDescent="0.2">
      <c r="A434" s="313">
        <v>1613000520</v>
      </c>
      <c r="B434" s="313" t="s">
        <v>571</v>
      </c>
      <c r="C434" s="314">
        <v>2000</v>
      </c>
      <c r="D434" s="313">
        <v>2000</v>
      </c>
      <c r="E434" s="313">
        <v>1732.92</v>
      </c>
      <c r="F434" s="313">
        <v>-267.08</v>
      </c>
      <c r="G434" s="313">
        <v>1733</v>
      </c>
      <c r="H434" s="313">
        <v>2618</v>
      </c>
    </row>
    <row r="435" spans="1:8" x14ac:dyDescent="0.2">
      <c r="A435" s="313">
        <v>1613000521</v>
      </c>
      <c r="B435" s="313" t="s">
        <v>572</v>
      </c>
      <c r="C435" s="314">
        <v>4500</v>
      </c>
      <c r="D435" s="313">
        <v>4500</v>
      </c>
      <c r="E435" s="313">
        <v>4153</v>
      </c>
      <c r="F435" s="313">
        <v>-347</v>
      </c>
      <c r="G435" s="313">
        <v>4430</v>
      </c>
      <c r="H435" s="313">
        <v>5000</v>
      </c>
    </row>
    <row r="436" spans="1:8" x14ac:dyDescent="0.2">
      <c r="A436" s="313">
        <v>1613000522</v>
      </c>
      <c r="B436" s="313" t="s">
        <v>573</v>
      </c>
      <c r="C436" s="314">
        <v>4000</v>
      </c>
      <c r="D436" s="313">
        <v>4000</v>
      </c>
      <c r="E436" s="313">
        <v>400</v>
      </c>
      <c r="F436" s="313">
        <v>-3600</v>
      </c>
      <c r="G436" s="313">
        <v>3900.27</v>
      </c>
      <c r="H436" s="313">
        <v>5490</v>
      </c>
    </row>
    <row r="437" spans="1:8" x14ac:dyDescent="0.2">
      <c r="A437" s="313">
        <v>1613000523</v>
      </c>
      <c r="B437" s="313" t="s">
        <v>574</v>
      </c>
      <c r="C437" s="314">
        <v>1700</v>
      </c>
      <c r="D437" s="313">
        <v>1700</v>
      </c>
      <c r="E437" s="313">
        <v>1600</v>
      </c>
      <c r="F437" s="313">
        <v>-100</v>
      </c>
      <c r="G437" s="313">
        <v>1500</v>
      </c>
      <c r="H437" s="313">
        <v>1500</v>
      </c>
    </row>
    <row r="438" spans="1:8" x14ac:dyDescent="0.2">
      <c r="A438" s="313">
        <v>1613000530</v>
      </c>
      <c r="B438" s="313" t="s">
        <v>1748</v>
      </c>
      <c r="C438" s="314">
        <v>68363</v>
      </c>
      <c r="D438" s="313">
        <v>68363</v>
      </c>
      <c r="E438" s="313">
        <v>62401.34</v>
      </c>
      <c r="F438" s="313">
        <v>-5961.66</v>
      </c>
      <c r="G438" s="313">
        <v>64433.04</v>
      </c>
      <c r="H438" s="313">
        <v>74572.05</v>
      </c>
    </row>
    <row r="439" spans="1:8" x14ac:dyDescent="0.2">
      <c r="A439" s="313">
        <v>1613000560</v>
      </c>
      <c r="B439" s="313" t="s">
        <v>576</v>
      </c>
      <c r="C439" s="314">
        <v>4740</v>
      </c>
      <c r="D439" s="313">
        <v>4740</v>
      </c>
      <c r="E439" s="313">
        <v>3147.69</v>
      </c>
      <c r="F439" s="313">
        <v>-1592.31</v>
      </c>
      <c r="G439" s="313">
        <v>7392.16</v>
      </c>
      <c r="H439" s="313">
        <v>12336.93</v>
      </c>
    </row>
    <row r="440" spans="1:8" x14ac:dyDescent="0.2">
      <c r="A440" s="313">
        <v>1613000580</v>
      </c>
      <c r="B440" s="313" t="s">
        <v>577</v>
      </c>
      <c r="C440" s="314">
        <v>2000</v>
      </c>
      <c r="D440" s="313">
        <v>2000</v>
      </c>
      <c r="E440" s="313">
        <v>1315.1</v>
      </c>
      <c r="F440" s="313">
        <v>-684.9</v>
      </c>
      <c r="G440" s="313">
        <v>17391.39</v>
      </c>
      <c r="H440" s="313">
        <v>10886.46</v>
      </c>
    </row>
    <row r="441" spans="1:8" x14ac:dyDescent="0.2">
      <c r="A441" s="313">
        <v>1613000581</v>
      </c>
      <c r="B441" s="313" t="s">
        <v>1749</v>
      </c>
      <c r="C441" s="314">
        <v>16770</v>
      </c>
      <c r="D441" s="313">
        <v>16770</v>
      </c>
      <c r="E441" s="313">
        <v>13188.89</v>
      </c>
      <c r="F441" s="313">
        <v>-3581.11</v>
      </c>
    </row>
    <row r="442" spans="1:8" x14ac:dyDescent="0.2">
      <c r="A442" s="313">
        <v>1613000810</v>
      </c>
      <c r="B442" s="313" t="s">
        <v>578</v>
      </c>
      <c r="C442" s="314">
        <v>303150</v>
      </c>
      <c r="D442" s="313">
        <v>303150</v>
      </c>
      <c r="E442" s="313">
        <v>302295.64</v>
      </c>
      <c r="F442" s="313">
        <v>-854.36</v>
      </c>
      <c r="G442" s="313">
        <v>196000</v>
      </c>
      <c r="H442" s="313">
        <v>150000</v>
      </c>
    </row>
    <row r="443" spans="1:8" x14ac:dyDescent="0.2">
      <c r="A443" s="313">
        <v>1613000910</v>
      </c>
      <c r="B443" s="313" t="s">
        <v>741</v>
      </c>
      <c r="C443" s="314">
        <v>242500</v>
      </c>
      <c r="D443" s="313">
        <v>242500</v>
      </c>
      <c r="E443" s="313">
        <v>242500</v>
      </c>
      <c r="H443" s="313">
        <v>30000</v>
      </c>
    </row>
    <row r="444" spans="1:8" x14ac:dyDescent="0.2">
      <c r="A444" s="313">
        <v>1613000930</v>
      </c>
      <c r="B444" s="313" t="s">
        <v>579</v>
      </c>
      <c r="C444" s="314">
        <v>9000</v>
      </c>
      <c r="D444" s="313">
        <v>9000</v>
      </c>
      <c r="E444" s="313">
        <v>6757</v>
      </c>
      <c r="F444" s="313">
        <v>-2243</v>
      </c>
      <c r="G444" s="313">
        <v>7979</v>
      </c>
      <c r="H444" s="313">
        <v>7806.61</v>
      </c>
    </row>
    <row r="445" spans="1:8" x14ac:dyDescent="0.2">
      <c r="A445" s="313">
        <v>1613000980</v>
      </c>
      <c r="B445" s="313" t="s">
        <v>580</v>
      </c>
      <c r="C445" s="314">
        <v>17658</v>
      </c>
      <c r="D445" s="313">
        <v>17658</v>
      </c>
      <c r="E445" s="313">
        <v>16573.63</v>
      </c>
      <c r="F445" s="313">
        <v>-1084.3699999999999</v>
      </c>
      <c r="G445" s="313">
        <v>33566.339999999997</v>
      </c>
      <c r="H445" s="313">
        <v>33298.480000000003</v>
      </c>
    </row>
    <row r="446" spans="1:8" x14ac:dyDescent="0.2">
      <c r="A446" s="313">
        <v>1613000981</v>
      </c>
      <c r="B446" s="313" t="s">
        <v>1553</v>
      </c>
      <c r="C446" s="314">
        <v>28000</v>
      </c>
      <c r="D446" s="313">
        <v>28000</v>
      </c>
      <c r="E446" s="313">
        <v>14547.97</v>
      </c>
      <c r="F446" s="313">
        <v>-13452.03</v>
      </c>
      <c r="G446" s="313">
        <v>5615.72</v>
      </c>
    </row>
    <row r="447" spans="1:8" x14ac:dyDescent="0.2">
      <c r="A447" s="313">
        <v>1614000470</v>
      </c>
      <c r="B447" s="313" t="s">
        <v>581</v>
      </c>
      <c r="C447" s="314">
        <v>1000</v>
      </c>
      <c r="D447" s="313">
        <v>1000</v>
      </c>
      <c r="E447" s="313">
        <v>347</v>
      </c>
      <c r="F447" s="313">
        <v>-653</v>
      </c>
      <c r="G447" s="313">
        <v>873.85</v>
      </c>
      <c r="H447" s="313">
        <v>742.2</v>
      </c>
    </row>
    <row r="448" spans="1:8" x14ac:dyDescent="0.2">
      <c r="A448" s="313">
        <v>1614000511</v>
      </c>
      <c r="B448" s="313" t="s">
        <v>1751</v>
      </c>
      <c r="C448" s="314">
        <v>1000</v>
      </c>
      <c r="D448" s="313">
        <v>1000</v>
      </c>
      <c r="E448" s="313">
        <v>172.62</v>
      </c>
      <c r="F448" s="313">
        <v>-827.38</v>
      </c>
    </row>
    <row r="449" spans="1:8" x14ac:dyDescent="0.2">
      <c r="A449" s="313">
        <v>1614000521</v>
      </c>
      <c r="B449" s="313" t="s">
        <v>582</v>
      </c>
      <c r="C449" s="314">
        <v>5648</v>
      </c>
      <c r="D449" s="313">
        <v>5648</v>
      </c>
      <c r="E449" s="313">
        <v>4220.17</v>
      </c>
      <c r="F449" s="313">
        <v>-1427.83</v>
      </c>
      <c r="G449" s="313">
        <v>3425</v>
      </c>
      <c r="H449" s="313">
        <v>2950</v>
      </c>
    </row>
    <row r="450" spans="1:8" x14ac:dyDescent="0.2">
      <c r="A450" s="313">
        <v>1614000522</v>
      </c>
      <c r="B450" s="313" t="s">
        <v>583</v>
      </c>
      <c r="C450" s="314">
        <v>1000</v>
      </c>
      <c r="D450" s="313">
        <v>1000</v>
      </c>
      <c r="E450" s="313">
        <v>800</v>
      </c>
      <c r="F450" s="313">
        <v>-200</v>
      </c>
      <c r="G450" s="313">
        <v>800</v>
      </c>
      <c r="H450" s="313">
        <v>892</v>
      </c>
    </row>
    <row r="451" spans="1:8" x14ac:dyDescent="0.2">
      <c r="A451" s="313">
        <v>1614000550</v>
      </c>
      <c r="B451" s="313" t="s">
        <v>584</v>
      </c>
      <c r="C451" s="314">
        <v>179640</v>
      </c>
      <c r="D451" s="313">
        <v>179640</v>
      </c>
      <c r="E451" s="313">
        <v>116666.85</v>
      </c>
      <c r="F451" s="313">
        <v>-62973.15</v>
      </c>
      <c r="G451" s="313">
        <v>193436.36</v>
      </c>
      <c r="H451" s="313">
        <v>187765.22</v>
      </c>
    </row>
    <row r="452" spans="1:8" x14ac:dyDescent="0.2">
      <c r="A452" s="313">
        <v>1614000570</v>
      </c>
      <c r="B452" s="313" t="s">
        <v>243</v>
      </c>
      <c r="C452" s="314">
        <v>9648</v>
      </c>
      <c r="D452" s="313">
        <v>9648</v>
      </c>
      <c r="E452" s="313">
        <v>5622.63</v>
      </c>
      <c r="F452" s="313">
        <v>-4025.37</v>
      </c>
      <c r="G452" s="313">
        <v>9202.59</v>
      </c>
      <c r="H452" s="313">
        <v>9204.02</v>
      </c>
    </row>
    <row r="453" spans="1:8" x14ac:dyDescent="0.2">
      <c r="A453" s="313">
        <v>1614000581</v>
      </c>
      <c r="B453" s="313" t="s">
        <v>1752</v>
      </c>
      <c r="C453" s="314">
        <v>360</v>
      </c>
      <c r="D453" s="313">
        <v>360</v>
      </c>
      <c r="E453" s="313">
        <v>263.61</v>
      </c>
      <c r="F453" s="313">
        <v>-96.39</v>
      </c>
    </row>
    <row r="454" spans="1:8" x14ac:dyDescent="0.2">
      <c r="A454" s="313">
        <v>1614000930</v>
      </c>
      <c r="B454" s="313" t="s">
        <v>585</v>
      </c>
      <c r="C454" s="314">
        <v>2000</v>
      </c>
      <c r="D454" s="313">
        <v>2000</v>
      </c>
      <c r="E454" s="313">
        <v>450</v>
      </c>
      <c r="F454" s="313">
        <v>-1550</v>
      </c>
      <c r="G454" s="313">
        <v>6970</v>
      </c>
      <c r="H454" s="313">
        <v>551.4</v>
      </c>
    </row>
    <row r="455" spans="1:8" x14ac:dyDescent="0.2">
      <c r="A455" s="313">
        <v>1614001551</v>
      </c>
      <c r="B455" s="313" t="s">
        <v>586</v>
      </c>
      <c r="C455" s="314">
        <v>49000</v>
      </c>
      <c r="D455" s="313">
        <v>49000</v>
      </c>
      <c r="E455" s="313">
        <v>35814.47</v>
      </c>
      <c r="F455" s="313">
        <v>-13185.53</v>
      </c>
      <c r="G455" s="313">
        <v>26508.69</v>
      </c>
      <c r="H455" s="313">
        <v>55859.59</v>
      </c>
    </row>
    <row r="456" spans="1:8" x14ac:dyDescent="0.2">
      <c r="A456" s="313">
        <v>1615000511</v>
      </c>
      <c r="B456" s="313" t="s">
        <v>1753</v>
      </c>
      <c r="C456" s="314">
        <v>2000</v>
      </c>
      <c r="D456" s="313">
        <v>2000</v>
      </c>
      <c r="E456" s="313">
        <v>570</v>
      </c>
      <c r="F456" s="313">
        <v>-1430</v>
      </c>
    </row>
    <row r="457" spans="1:8" x14ac:dyDescent="0.2">
      <c r="A457" s="313">
        <v>1615000521</v>
      </c>
      <c r="B457" s="313" t="s">
        <v>1754</v>
      </c>
      <c r="C457" s="314">
        <v>1260</v>
      </c>
      <c r="D457" s="313">
        <v>1260</v>
      </c>
      <c r="E457" s="313">
        <v>1260</v>
      </c>
    </row>
    <row r="458" spans="1:8" x14ac:dyDescent="0.2">
      <c r="A458" s="313">
        <v>1615000522</v>
      </c>
      <c r="B458" s="313" t="s">
        <v>587</v>
      </c>
      <c r="C458" s="314">
        <v>1000</v>
      </c>
      <c r="D458" s="313">
        <v>1000</v>
      </c>
      <c r="E458" s="313">
        <v>250</v>
      </c>
      <c r="F458" s="313">
        <v>-750</v>
      </c>
      <c r="G458" s="313">
        <v>550</v>
      </c>
      <c r="H458" s="313">
        <v>2038</v>
      </c>
    </row>
    <row r="459" spans="1:8" x14ac:dyDescent="0.2">
      <c r="A459" s="313">
        <v>1615000523</v>
      </c>
      <c r="B459" s="313" t="s">
        <v>588</v>
      </c>
      <c r="C459" s="314">
        <v>880</v>
      </c>
      <c r="D459" s="313">
        <v>880</v>
      </c>
      <c r="F459" s="313">
        <v>-880</v>
      </c>
      <c r="G459" s="313">
        <v>800</v>
      </c>
    </row>
    <row r="460" spans="1:8" x14ac:dyDescent="0.2">
      <c r="A460" s="313">
        <v>1615000560</v>
      </c>
      <c r="B460" s="313" t="s">
        <v>589</v>
      </c>
      <c r="C460" s="314">
        <v>3860</v>
      </c>
      <c r="D460" s="313">
        <v>3860</v>
      </c>
      <c r="E460" s="313">
        <v>2847.82</v>
      </c>
      <c r="F460" s="313">
        <v>-1012.18</v>
      </c>
      <c r="G460" s="313">
        <v>4616.76</v>
      </c>
      <c r="H460" s="313">
        <v>6269.05</v>
      </c>
    </row>
    <row r="461" spans="1:8" x14ac:dyDescent="0.2">
      <c r="A461" s="313">
        <v>1615000571</v>
      </c>
      <c r="B461" s="313" t="s">
        <v>590</v>
      </c>
      <c r="C461" s="314">
        <v>7160</v>
      </c>
      <c r="D461" s="313">
        <v>7160</v>
      </c>
      <c r="E461" s="313">
        <v>6739</v>
      </c>
      <c r="F461" s="313">
        <v>-421</v>
      </c>
      <c r="G461" s="313">
        <v>6336</v>
      </c>
      <c r="H461" s="313">
        <v>11939</v>
      </c>
    </row>
    <row r="462" spans="1:8" x14ac:dyDescent="0.2">
      <c r="A462" s="313">
        <v>1615000581</v>
      </c>
      <c r="B462" s="313" t="s">
        <v>1673</v>
      </c>
      <c r="C462" s="314">
        <v>1812</v>
      </c>
      <c r="D462" s="313">
        <v>1812</v>
      </c>
      <c r="E462" s="313">
        <v>1163.1600000000001</v>
      </c>
      <c r="F462" s="313">
        <v>-648.84</v>
      </c>
    </row>
    <row r="463" spans="1:8" x14ac:dyDescent="0.2">
      <c r="A463" s="313">
        <v>1615000780</v>
      </c>
      <c r="B463" s="313" t="s">
        <v>591</v>
      </c>
      <c r="C463" s="314">
        <v>380250</v>
      </c>
      <c r="D463" s="313">
        <v>380250</v>
      </c>
      <c r="E463" s="313">
        <v>292207.5</v>
      </c>
      <c r="F463" s="313">
        <v>-88042.5</v>
      </c>
      <c r="G463" s="313">
        <v>347189.8</v>
      </c>
      <c r="H463" s="313">
        <v>256169.27</v>
      </c>
    </row>
    <row r="464" spans="1:8" x14ac:dyDescent="0.2">
      <c r="A464" s="313">
        <v>1615000930</v>
      </c>
      <c r="B464" s="313" t="s">
        <v>592</v>
      </c>
      <c r="C464" s="314">
        <v>5568</v>
      </c>
      <c r="D464" s="313">
        <v>5568</v>
      </c>
      <c r="E464" s="313">
        <v>3353.58</v>
      </c>
      <c r="F464" s="313">
        <v>-2214.42</v>
      </c>
      <c r="G464" s="313">
        <v>7938.04</v>
      </c>
      <c r="H464" s="313">
        <v>11769.56</v>
      </c>
    </row>
    <row r="465" spans="1:8" x14ac:dyDescent="0.2">
      <c r="A465" s="313">
        <v>1615000981</v>
      </c>
      <c r="B465" s="313" t="s">
        <v>652</v>
      </c>
      <c r="C465" s="314">
        <v>235000</v>
      </c>
      <c r="D465" s="313">
        <v>235000</v>
      </c>
      <c r="E465" s="313">
        <v>104000</v>
      </c>
      <c r="F465" s="313">
        <v>-131000</v>
      </c>
    </row>
    <row r="466" spans="1:8" x14ac:dyDescent="0.2">
      <c r="A466" s="313">
        <v>1617000440</v>
      </c>
      <c r="B466" s="313" t="s">
        <v>593</v>
      </c>
      <c r="C466" s="314">
        <v>69728</v>
      </c>
      <c r="D466" s="313">
        <v>69728</v>
      </c>
      <c r="E466" s="313">
        <v>54862.44</v>
      </c>
      <c r="F466" s="313">
        <v>-14865.56</v>
      </c>
      <c r="G466" s="313">
        <v>78159.45</v>
      </c>
      <c r="H466" s="313">
        <v>67466.8</v>
      </c>
    </row>
    <row r="467" spans="1:8" x14ac:dyDescent="0.2">
      <c r="A467" s="313">
        <v>1617000441</v>
      </c>
      <c r="B467" s="313" t="s">
        <v>594</v>
      </c>
      <c r="C467" s="314">
        <v>585000</v>
      </c>
      <c r="D467" s="313">
        <v>585000</v>
      </c>
      <c r="E467" s="313">
        <v>467664</v>
      </c>
      <c r="F467" s="313">
        <v>-117336</v>
      </c>
      <c r="G467" s="313">
        <v>2775951.18</v>
      </c>
      <c r="H467" s="313">
        <v>629402.5</v>
      </c>
    </row>
    <row r="468" spans="1:8" x14ac:dyDescent="0.2">
      <c r="A468" s="313">
        <v>1617000442</v>
      </c>
      <c r="B468" s="313" t="s">
        <v>595</v>
      </c>
      <c r="C468" s="314">
        <v>295000</v>
      </c>
      <c r="D468" s="313">
        <v>295000</v>
      </c>
      <c r="E468" s="313">
        <v>147585</v>
      </c>
      <c r="F468" s="313">
        <v>-147415</v>
      </c>
      <c r="G468" s="313">
        <v>448953.49</v>
      </c>
      <c r="H468" s="313">
        <v>275785.5</v>
      </c>
    </row>
    <row r="469" spans="1:8" x14ac:dyDescent="0.2">
      <c r="A469" s="313">
        <v>1617000500</v>
      </c>
      <c r="B469" s="313" t="s">
        <v>596</v>
      </c>
      <c r="C469" s="314">
        <v>80500</v>
      </c>
      <c r="D469" s="313">
        <v>80500</v>
      </c>
      <c r="E469" s="313">
        <v>12605.58</v>
      </c>
      <c r="F469" s="313">
        <v>-67894.42</v>
      </c>
      <c r="G469" s="313">
        <v>45340.46</v>
      </c>
      <c r="H469" s="313">
        <v>52693.74</v>
      </c>
    </row>
    <row r="470" spans="1:8" x14ac:dyDescent="0.2">
      <c r="A470" s="313">
        <v>1617000511</v>
      </c>
      <c r="B470" s="313" t="s">
        <v>597</v>
      </c>
      <c r="C470" s="314">
        <v>3600</v>
      </c>
      <c r="D470" s="313">
        <v>3600</v>
      </c>
      <c r="E470" s="313">
        <v>1763.37</v>
      </c>
      <c r="F470" s="313">
        <v>-1836.63</v>
      </c>
      <c r="G470" s="313">
        <v>2903.5</v>
      </c>
      <c r="H470" s="313">
        <v>3055.68</v>
      </c>
    </row>
    <row r="471" spans="1:8" x14ac:dyDescent="0.2">
      <c r="A471" s="313">
        <v>1617000512</v>
      </c>
      <c r="B471" s="313" t="s">
        <v>598</v>
      </c>
      <c r="C471" s="314">
        <v>400</v>
      </c>
      <c r="D471" s="313">
        <v>400</v>
      </c>
      <c r="E471" s="313">
        <v>373.17</v>
      </c>
      <c r="F471" s="313">
        <v>-26.83</v>
      </c>
      <c r="H471" s="313">
        <v>1648.6</v>
      </c>
    </row>
    <row r="472" spans="1:8" x14ac:dyDescent="0.2">
      <c r="A472" s="313">
        <v>1617000521</v>
      </c>
      <c r="B472" s="313" t="s">
        <v>599</v>
      </c>
      <c r="C472" s="314">
        <v>15520</v>
      </c>
      <c r="D472" s="313">
        <v>15520</v>
      </c>
      <c r="E472" s="313">
        <v>12910</v>
      </c>
      <c r="F472" s="313">
        <v>-2610</v>
      </c>
      <c r="G472" s="313">
        <v>12595</v>
      </c>
      <c r="H472" s="313">
        <v>24444.5</v>
      </c>
    </row>
    <row r="473" spans="1:8" x14ac:dyDescent="0.2">
      <c r="A473" s="313">
        <v>1617000522</v>
      </c>
      <c r="B473" s="313" t="s">
        <v>600</v>
      </c>
      <c r="C473" s="314">
        <v>16000</v>
      </c>
      <c r="D473" s="313">
        <v>16000</v>
      </c>
      <c r="E473" s="313">
        <v>10151.52</v>
      </c>
      <c r="F473" s="313">
        <v>-5848.48</v>
      </c>
      <c r="G473" s="313">
        <v>6008.21</v>
      </c>
      <c r="H473" s="313">
        <v>7333.77</v>
      </c>
    </row>
    <row r="474" spans="1:8" x14ac:dyDescent="0.2">
      <c r="A474" s="313">
        <v>1617000523</v>
      </c>
      <c r="B474" s="313" t="s">
        <v>601</v>
      </c>
      <c r="C474" s="314">
        <v>7000</v>
      </c>
      <c r="D474" s="313">
        <v>7000</v>
      </c>
      <c r="E474" s="313">
        <v>6758</v>
      </c>
      <c r="F474" s="313">
        <v>-242</v>
      </c>
      <c r="G474" s="313">
        <v>4339</v>
      </c>
      <c r="H474" s="313">
        <v>6340</v>
      </c>
    </row>
    <row r="475" spans="1:8" x14ac:dyDescent="0.2">
      <c r="A475" s="313">
        <v>1617000530</v>
      </c>
      <c r="B475" s="313" t="s">
        <v>1761</v>
      </c>
      <c r="C475" s="314">
        <v>81384</v>
      </c>
      <c r="D475" s="313">
        <v>81384</v>
      </c>
      <c r="E475" s="313">
        <v>63472.6</v>
      </c>
      <c r="F475" s="313">
        <v>-17911.400000000001</v>
      </c>
      <c r="G475" s="313">
        <v>85086.43</v>
      </c>
      <c r="H475" s="313">
        <v>74642.320000000007</v>
      </c>
    </row>
    <row r="476" spans="1:8" x14ac:dyDescent="0.2">
      <c r="A476" s="313">
        <v>1617000540</v>
      </c>
      <c r="B476" s="313" t="s">
        <v>603</v>
      </c>
      <c r="C476" s="314">
        <v>12.1</v>
      </c>
      <c r="D476" s="313">
        <v>12.1</v>
      </c>
      <c r="E476" s="313">
        <v>12.1</v>
      </c>
    </row>
    <row r="477" spans="1:8" x14ac:dyDescent="0.2">
      <c r="A477" s="313">
        <v>1617000560</v>
      </c>
      <c r="B477" s="313" t="s">
        <v>604</v>
      </c>
      <c r="C477" s="314">
        <v>6008</v>
      </c>
      <c r="D477" s="313">
        <v>6008</v>
      </c>
      <c r="E477" s="313">
        <v>4379.88</v>
      </c>
      <c r="F477" s="313">
        <v>-1628.12</v>
      </c>
      <c r="G477" s="313">
        <v>15802.7</v>
      </c>
      <c r="H477" s="313">
        <v>7139.75</v>
      </c>
    </row>
    <row r="478" spans="1:8" x14ac:dyDescent="0.2">
      <c r="A478" s="313">
        <v>1617000561</v>
      </c>
      <c r="B478" s="313" t="s">
        <v>1931</v>
      </c>
      <c r="C478" s="314">
        <v>1992</v>
      </c>
      <c r="D478" s="313">
        <v>1992</v>
      </c>
      <c r="E478" s="313">
        <v>1488.69</v>
      </c>
      <c r="F478" s="313">
        <v>-503.31</v>
      </c>
    </row>
    <row r="479" spans="1:8" x14ac:dyDescent="0.2">
      <c r="A479" s="313">
        <v>1617000570</v>
      </c>
      <c r="B479" s="313" t="s">
        <v>605</v>
      </c>
      <c r="C479" s="314">
        <v>12500</v>
      </c>
      <c r="D479" s="313">
        <v>12500</v>
      </c>
      <c r="E479" s="313">
        <v>6530.89</v>
      </c>
      <c r="F479" s="313">
        <v>-5969.11</v>
      </c>
      <c r="G479" s="313">
        <v>23916.86</v>
      </c>
      <c r="H479" s="313">
        <v>9691</v>
      </c>
    </row>
    <row r="480" spans="1:8" x14ac:dyDescent="0.2">
      <c r="A480" s="313">
        <v>1617000580</v>
      </c>
      <c r="B480" s="313" t="s">
        <v>1218</v>
      </c>
      <c r="H480" s="313">
        <v>570.9</v>
      </c>
    </row>
    <row r="481" spans="1:8" x14ac:dyDescent="0.2">
      <c r="A481" s="313">
        <v>1617000581</v>
      </c>
      <c r="B481" s="313" t="s">
        <v>606</v>
      </c>
      <c r="C481" s="314">
        <v>185000</v>
      </c>
      <c r="D481" s="313">
        <v>185000</v>
      </c>
      <c r="E481" s="313">
        <v>97627</v>
      </c>
      <c r="F481" s="313">
        <v>-87373</v>
      </c>
      <c r="G481" s="313">
        <v>78196</v>
      </c>
      <c r="H481" s="313">
        <v>106738</v>
      </c>
    </row>
    <row r="482" spans="1:8" x14ac:dyDescent="0.2">
      <c r="A482" s="313">
        <v>1617000750</v>
      </c>
      <c r="B482" s="313" t="s">
        <v>607</v>
      </c>
      <c r="C482" s="314">
        <v>703628</v>
      </c>
      <c r="D482" s="313">
        <v>703628</v>
      </c>
      <c r="E482" s="313">
        <v>457737.82</v>
      </c>
      <c r="F482" s="313">
        <v>-245890.18</v>
      </c>
      <c r="G482" s="313">
        <v>392810.6</v>
      </c>
      <c r="H482" s="313">
        <v>219479.9</v>
      </c>
    </row>
    <row r="483" spans="1:8" x14ac:dyDescent="0.2">
      <c r="A483" s="313">
        <v>1617000760</v>
      </c>
      <c r="B483" s="313" t="s">
        <v>552</v>
      </c>
      <c r="C483" s="314">
        <v>27000</v>
      </c>
      <c r="D483" s="313">
        <v>27000</v>
      </c>
      <c r="E483" s="313">
        <v>22219.62</v>
      </c>
      <c r="F483" s="313">
        <v>-4780.38</v>
      </c>
      <c r="G483" s="313">
        <v>17695.349999999999</v>
      </c>
      <c r="H483" s="313">
        <v>10539.05</v>
      </c>
    </row>
    <row r="484" spans="1:8" x14ac:dyDescent="0.2">
      <c r="A484" s="313">
        <v>1617000930</v>
      </c>
      <c r="B484" s="313" t="s">
        <v>608</v>
      </c>
      <c r="C484" s="314">
        <v>13000</v>
      </c>
      <c r="D484" s="313">
        <v>13000</v>
      </c>
      <c r="E484" s="313">
        <v>11597.65</v>
      </c>
      <c r="F484" s="313">
        <v>-1402.35</v>
      </c>
      <c r="G484" s="313">
        <v>11919.5</v>
      </c>
      <c r="H484" s="313">
        <v>11132.07</v>
      </c>
    </row>
    <row r="485" spans="1:8" x14ac:dyDescent="0.2">
      <c r="A485" s="313">
        <v>1617000980</v>
      </c>
      <c r="B485" s="313" t="s">
        <v>609</v>
      </c>
      <c r="C485" s="314">
        <v>5587.9</v>
      </c>
      <c r="D485" s="313">
        <v>5587.9</v>
      </c>
      <c r="E485" s="313">
        <v>641.45000000000005</v>
      </c>
      <c r="F485" s="313">
        <v>-4946.45</v>
      </c>
      <c r="G485" s="313">
        <v>4818.01</v>
      </c>
      <c r="H485" s="313">
        <v>2213.9699999999998</v>
      </c>
    </row>
    <row r="486" spans="1:8" x14ac:dyDescent="0.2">
      <c r="A486" s="313">
        <v>1621000731</v>
      </c>
      <c r="B486" s="313" t="s">
        <v>1530</v>
      </c>
      <c r="H486" s="313">
        <v>667.26</v>
      </c>
    </row>
    <row r="487" spans="1:8" x14ac:dyDescent="0.2">
      <c r="A487" s="313">
        <v>1621100440</v>
      </c>
      <c r="B487" s="313" t="s">
        <v>610</v>
      </c>
      <c r="C487" s="314">
        <v>9908</v>
      </c>
      <c r="D487" s="313">
        <v>9908</v>
      </c>
      <c r="E487" s="313">
        <v>9082.44</v>
      </c>
      <c r="F487" s="313">
        <v>-825.56</v>
      </c>
      <c r="G487" s="313">
        <v>18079.45</v>
      </c>
      <c r="H487" s="313">
        <v>21211.8</v>
      </c>
    </row>
    <row r="488" spans="1:8" x14ac:dyDescent="0.2">
      <c r="A488" s="313">
        <v>1621100470</v>
      </c>
      <c r="B488" s="313" t="s">
        <v>611</v>
      </c>
      <c r="C488" s="314">
        <v>1300</v>
      </c>
      <c r="D488" s="313">
        <v>1300</v>
      </c>
      <c r="E488" s="313">
        <v>327.60000000000002</v>
      </c>
      <c r="F488" s="313">
        <v>-972.4</v>
      </c>
      <c r="G488" s="313">
        <v>985.21</v>
      </c>
      <c r="H488" s="313">
        <v>818.81</v>
      </c>
    </row>
    <row r="489" spans="1:8" x14ac:dyDescent="0.2">
      <c r="A489" s="313">
        <v>1621100511</v>
      </c>
      <c r="B489" s="313" t="s">
        <v>612</v>
      </c>
      <c r="C489" s="314">
        <v>4500</v>
      </c>
      <c r="D489" s="313">
        <v>4500</v>
      </c>
      <c r="E489" s="313">
        <v>3541.99</v>
      </c>
      <c r="F489" s="313">
        <v>-958.01</v>
      </c>
      <c r="G489" s="313">
        <v>1686.6</v>
      </c>
      <c r="H489" s="313">
        <v>1493.64</v>
      </c>
    </row>
    <row r="490" spans="1:8" x14ac:dyDescent="0.2">
      <c r="A490" s="313">
        <v>1621100512</v>
      </c>
      <c r="B490" s="313" t="s">
        <v>613</v>
      </c>
      <c r="H490" s="313">
        <v>497.5</v>
      </c>
    </row>
    <row r="491" spans="1:8" x14ac:dyDescent="0.2">
      <c r="A491" s="313">
        <v>1621100521</v>
      </c>
      <c r="B491" s="313" t="s">
        <v>614</v>
      </c>
      <c r="C491" s="314">
        <v>7648</v>
      </c>
      <c r="D491" s="313">
        <v>7648</v>
      </c>
      <c r="E491" s="313">
        <v>420</v>
      </c>
      <c r="F491" s="313">
        <v>-7228</v>
      </c>
      <c r="G491" s="313">
        <v>6925</v>
      </c>
      <c r="H491" s="313">
        <v>7767.06</v>
      </c>
    </row>
    <row r="492" spans="1:8" x14ac:dyDescent="0.2">
      <c r="A492" s="313">
        <v>1621100522</v>
      </c>
      <c r="B492" s="313" t="s">
        <v>615</v>
      </c>
      <c r="C492" s="314">
        <v>3208.03</v>
      </c>
      <c r="D492" s="313">
        <v>3208.03</v>
      </c>
      <c r="E492" s="313">
        <v>3208.03</v>
      </c>
      <c r="G492" s="313">
        <v>3451.28</v>
      </c>
      <c r="H492" s="313">
        <v>3654.46</v>
      </c>
    </row>
    <row r="493" spans="1:8" x14ac:dyDescent="0.2">
      <c r="A493" s="313">
        <v>1621100523</v>
      </c>
      <c r="B493" s="313" t="s">
        <v>616</v>
      </c>
      <c r="C493" s="314">
        <v>1500</v>
      </c>
      <c r="D493" s="313">
        <v>1500</v>
      </c>
      <c r="E493" s="313">
        <v>1500</v>
      </c>
      <c r="G493" s="313">
        <v>1500</v>
      </c>
      <c r="H493" s="313">
        <v>2338</v>
      </c>
    </row>
    <row r="494" spans="1:8" x14ac:dyDescent="0.2">
      <c r="A494" s="313">
        <v>1621100530</v>
      </c>
      <c r="B494" s="313" t="s">
        <v>1770</v>
      </c>
      <c r="C494" s="314">
        <v>81945</v>
      </c>
      <c r="D494" s="313">
        <v>81945</v>
      </c>
      <c r="E494" s="313">
        <v>53855.9</v>
      </c>
      <c r="F494" s="313">
        <v>-28089.1</v>
      </c>
      <c r="G494" s="313">
        <v>74648</v>
      </c>
      <c r="H494" s="313">
        <v>77070.12</v>
      </c>
    </row>
    <row r="495" spans="1:8" x14ac:dyDescent="0.2">
      <c r="A495" s="313">
        <v>1621100560</v>
      </c>
      <c r="B495" s="313" t="s">
        <v>618</v>
      </c>
      <c r="C495" s="314">
        <v>4754</v>
      </c>
      <c r="D495" s="313">
        <v>4754</v>
      </c>
      <c r="E495" s="313">
        <v>2977.65</v>
      </c>
      <c r="F495" s="313">
        <v>-1776.35</v>
      </c>
      <c r="G495" s="313">
        <v>11461.54</v>
      </c>
      <c r="H495" s="313">
        <v>10045.14</v>
      </c>
    </row>
    <row r="496" spans="1:8" x14ac:dyDescent="0.2">
      <c r="A496" s="313">
        <v>1621100580</v>
      </c>
      <c r="B496" s="313" t="s">
        <v>1220</v>
      </c>
      <c r="E496" s="313">
        <v>0</v>
      </c>
      <c r="H496" s="313">
        <v>1233</v>
      </c>
    </row>
    <row r="497" spans="1:8" x14ac:dyDescent="0.2">
      <c r="A497" s="313">
        <v>1621100581</v>
      </c>
      <c r="B497" s="313" t="s">
        <v>1771</v>
      </c>
      <c r="C497" s="314">
        <v>2196</v>
      </c>
      <c r="D497" s="313">
        <v>2196</v>
      </c>
      <c r="E497" s="313">
        <v>1028.1400000000001</v>
      </c>
      <c r="F497" s="313">
        <v>-1167.8599999999999</v>
      </c>
    </row>
    <row r="498" spans="1:8" x14ac:dyDescent="0.2">
      <c r="A498" s="313">
        <v>1621100760</v>
      </c>
      <c r="B498" s="313" t="s">
        <v>552</v>
      </c>
      <c r="C498" s="314">
        <v>0</v>
      </c>
      <c r="D498" s="313">
        <v>0</v>
      </c>
      <c r="G498" s="313">
        <v>16117.41</v>
      </c>
      <c r="H498" s="313">
        <v>21492.36</v>
      </c>
    </row>
    <row r="499" spans="1:8" x14ac:dyDescent="0.2">
      <c r="A499" s="313">
        <v>1621100910</v>
      </c>
      <c r="B499" s="313" t="s">
        <v>1529</v>
      </c>
      <c r="H499" s="313">
        <v>15568.21</v>
      </c>
    </row>
    <row r="500" spans="1:8" x14ac:dyDescent="0.2">
      <c r="A500" s="313">
        <v>1621100930</v>
      </c>
      <c r="B500" s="313" t="s">
        <v>620</v>
      </c>
      <c r="G500" s="313">
        <v>2980.65</v>
      </c>
      <c r="H500" s="313">
        <v>1517.1</v>
      </c>
    </row>
    <row r="501" spans="1:8" x14ac:dyDescent="0.2">
      <c r="A501" s="313">
        <v>1621100980</v>
      </c>
      <c r="B501" s="313" t="s">
        <v>621</v>
      </c>
      <c r="C501" s="314">
        <v>156796.97</v>
      </c>
      <c r="D501" s="313">
        <v>156796.97</v>
      </c>
      <c r="E501" s="313">
        <v>102372.14</v>
      </c>
      <c r="F501" s="313">
        <v>-54424.83</v>
      </c>
      <c r="G501" s="313">
        <v>175247.24</v>
      </c>
      <c r="H501" s="313">
        <v>124878.5</v>
      </c>
    </row>
    <row r="502" spans="1:8" x14ac:dyDescent="0.2">
      <c r="A502" s="313">
        <v>1621300560</v>
      </c>
      <c r="B502" s="313" t="s">
        <v>623</v>
      </c>
      <c r="C502" s="314">
        <v>4660</v>
      </c>
      <c r="D502" s="313">
        <v>4660</v>
      </c>
      <c r="E502" s="313">
        <v>1333.96</v>
      </c>
      <c r="F502" s="313">
        <v>-3326.04</v>
      </c>
      <c r="G502" s="313">
        <v>7497.15</v>
      </c>
      <c r="H502" s="313">
        <v>4936.37</v>
      </c>
    </row>
    <row r="503" spans="1:8" x14ac:dyDescent="0.2">
      <c r="A503" s="313">
        <v>1621300570</v>
      </c>
      <c r="B503" s="313" t="s">
        <v>624</v>
      </c>
      <c r="C503" s="314">
        <v>154452</v>
      </c>
      <c r="D503" s="313">
        <v>154452</v>
      </c>
      <c r="E503" s="313">
        <v>114910.58</v>
      </c>
      <c r="F503" s="313">
        <v>-39541.42</v>
      </c>
      <c r="G503" s="313">
        <v>154105.31</v>
      </c>
      <c r="H503" s="313">
        <v>139275.74</v>
      </c>
    </row>
    <row r="504" spans="1:8" x14ac:dyDescent="0.2">
      <c r="A504" s="313">
        <v>1621300571</v>
      </c>
      <c r="B504" s="313" t="s">
        <v>2058</v>
      </c>
      <c r="C504" s="314">
        <v>8040</v>
      </c>
      <c r="D504" s="313">
        <v>8040</v>
      </c>
      <c r="F504" s="313">
        <v>-8040</v>
      </c>
    </row>
    <row r="505" spans="1:8" x14ac:dyDescent="0.2">
      <c r="A505" s="313">
        <v>1621300581</v>
      </c>
      <c r="B505" s="313" t="s">
        <v>1932</v>
      </c>
      <c r="C505" s="314">
        <v>3240</v>
      </c>
      <c r="D505" s="313">
        <v>3240</v>
      </c>
      <c r="E505" s="313">
        <v>2548.73</v>
      </c>
      <c r="F505" s="313">
        <v>-691.27</v>
      </c>
    </row>
    <row r="506" spans="1:8" x14ac:dyDescent="0.2">
      <c r="A506" s="313">
        <v>1621300750</v>
      </c>
      <c r="B506" s="313" t="s">
        <v>625</v>
      </c>
      <c r="C506" s="314">
        <v>1774020</v>
      </c>
      <c r="D506" s="313">
        <v>1774020</v>
      </c>
      <c r="E506" s="313">
        <v>1478350</v>
      </c>
      <c r="F506" s="313">
        <v>-295670</v>
      </c>
      <c r="G506" s="313">
        <v>1750434</v>
      </c>
      <c r="H506" s="313">
        <v>1775324</v>
      </c>
    </row>
    <row r="507" spans="1:8" x14ac:dyDescent="0.2">
      <c r="A507" s="313">
        <v>1621300780</v>
      </c>
      <c r="B507" s="313" t="s">
        <v>626</v>
      </c>
      <c r="C507" s="314">
        <v>4000</v>
      </c>
      <c r="D507" s="313">
        <v>4000</v>
      </c>
      <c r="E507" s="313">
        <v>1563.8</v>
      </c>
      <c r="F507" s="313">
        <v>-2436.1999999999998</v>
      </c>
      <c r="G507" s="313">
        <v>2937.6</v>
      </c>
      <c r="H507" s="313">
        <v>4747.6000000000004</v>
      </c>
    </row>
    <row r="508" spans="1:8" x14ac:dyDescent="0.2">
      <c r="A508" s="313">
        <v>1621300930</v>
      </c>
      <c r="B508" s="313" t="s">
        <v>627</v>
      </c>
      <c r="C508" s="314">
        <v>8000</v>
      </c>
      <c r="D508" s="313">
        <v>8000</v>
      </c>
      <c r="E508" s="313">
        <v>5981.3</v>
      </c>
      <c r="F508" s="313">
        <v>-2018.7</v>
      </c>
      <c r="G508" s="313">
        <v>9681.7099999999991</v>
      </c>
      <c r="H508" s="313">
        <v>4513.79</v>
      </c>
    </row>
    <row r="509" spans="1:8" x14ac:dyDescent="0.2">
      <c r="A509" s="313">
        <v>1621500511</v>
      </c>
      <c r="B509" s="313" t="s">
        <v>29</v>
      </c>
      <c r="C509" s="314">
        <v>1000</v>
      </c>
      <c r="D509" s="313">
        <v>1000</v>
      </c>
      <c r="E509" s="313">
        <v>183.5</v>
      </c>
      <c r="F509" s="313">
        <v>-816.5</v>
      </c>
      <c r="G509" s="313">
        <v>1000</v>
      </c>
      <c r="H509" s="313">
        <v>995.76</v>
      </c>
    </row>
    <row r="510" spans="1:8" x14ac:dyDescent="0.2">
      <c r="A510" s="313">
        <v>1621500521</v>
      </c>
      <c r="B510" s="313" t="s">
        <v>628</v>
      </c>
      <c r="C510" s="314">
        <v>6000</v>
      </c>
      <c r="D510" s="313">
        <v>6000</v>
      </c>
      <c r="E510" s="313">
        <v>5100</v>
      </c>
      <c r="F510" s="313">
        <v>-900</v>
      </c>
      <c r="G510" s="313">
        <v>12475</v>
      </c>
      <c r="H510" s="313">
        <v>4500</v>
      </c>
    </row>
    <row r="511" spans="1:8" x14ac:dyDescent="0.2">
      <c r="A511" s="313">
        <v>1621500560</v>
      </c>
      <c r="B511" s="313" t="s">
        <v>630</v>
      </c>
      <c r="C511" s="314">
        <v>1620</v>
      </c>
      <c r="D511" s="313">
        <v>1620</v>
      </c>
      <c r="E511" s="313">
        <v>1139.8</v>
      </c>
      <c r="F511" s="313">
        <v>-480.2</v>
      </c>
      <c r="G511" s="313">
        <v>5726.07</v>
      </c>
      <c r="H511" s="313">
        <v>4023.24</v>
      </c>
    </row>
    <row r="512" spans="1:8" x14ac:dyDescent="0.2">
      <c r="A512" s="313">
        <v>1621500570</v>
      </c>
      <c r="B512" s="313" t="s">
        <v>631</v>
      </c>
      <c r="C512" s="314">
        <v>410576</v>
      </c>
      <c r="D512" s="313">
        <v>410576</v>
      </c>
      <c r="E512" s="313">
        <v>314578.39</v>
      </c>
      <c r="F512" s="313">
        <v>-95997.61</v>
      </c>
      <c r="G512" s="313">
        <v>393719.8</v>
      </c>
      <c r="H512" s="313">
        <v>221832.03</v>
      </c>
    </row>
    <row r="513" spans="1:8" x14ac:dyDescent="0.2">
      <c r="A513" s="313">
        <v>1621500581</v>
      </c>
      <c r="B513" s="313" t="s">
        <v>1778</v>
      </c>
      <c r="C513" s="314">
        <v>5400</v>
      </c>
      <c r="D513" s="313">
        <v>5400</v>
      </c>
      <c r="E513" s="313">
        <v>173.17</v>
      </c>
      <c r="F513" s="313">
        <v>-5226.83</v>
      </c>
    </row>
    <row r="514" spans="1:8" x14ac:dyDescent="0.2">
      <c r="A514" s="313">
        <v>1621500780</v>
      </c>
      <c r="B514" s="313" t="s">
        <v>632</v>
      </c>
      <c r="C514" s="314">
        <v>1680</v>
      </c>
      <c r="D514" s="313">
        <v>1680</v>
      </c>
      <c r="F514" s="313">
        <v>-1680</v>
      </c>
      <c r="G514" s="313">
        <v>2200.8000000000002</v>
      </c>
      <c r="H514" s="313">
        <v>1290.96</v>
      </c>
    </row>
    <row r="515" spans="1:8" x14ac:dyDescent="0.2">
      <c r="A515" s="313">
        <v>1621500930</v>
      </c>
      <c r="B515" s="313" t="s">
        <v>633</v>
      </c>
      <c r="C515" s="314">
        <v>3320</v>
      </c>
      <c r="D515" s="313">
        <v>3320</v>
      </c>
      <c r="E515" s="313">
        <v>650.94000000000005</v>
      </c>
      <c r="F515" s="313">
        <v>-2669.06</v>
      </c>
      <c r="G515" s="313">
        <v>3190</v>
      </c>
      <c r="H515" s="313">
        <v>2625.75</v>
      </c>
    </row>
    <row r="516" spans="1:8" x14ac:dyDescent="0.2">
      <c r="A516" s="313">
        <v>1623000440</v>
      </c>
      <c r="B516" s="313" t="s">
        <v>634</v>
      </c>
      <c r="C516" s="314">
        <v>2727</v>
      </c>
      <c r="D516" s="313">
        <v>2727</v>
      </c>
      <c r="E516" s="313">
        <v>2497</v>
      </c>
      <c r="F516" s="313">
        <v>-230</v>
      </c>
      <c r="G516" s="313">
        <v>2726.75</v>
      </c>
      <c r="H516" s="313">
        <v>2542.25</v>
      </c>
    </row>
    <row r="517" spans="1:8" x14ac:dyDescent="0.2">
      <c r="A517" s="313">
        <v>1623000511</v>
      </c>
      <c r="B517" s="313" t="s">
        <v>1779</v>
      </c>
      <c r="C517" s="314">
        <v>1500</v>
      </c>
      <c r="D517" s="313">
        <v>1500</v>
      </c>
      <c r="E517" s="313">
        <v>892.28</v>
      </c>
      <c r="F517" s="313">
        <v>-607.72</v>
      </c>
    </row>
    <row r="518" spans="1:8" x14ac:dyDescent="0.2">
      <c r="A518" s="313">
        <v>1623000521</v>
      </c>
      <c r="B518" s="313" t="s">
        <v>635</v>
      </c>
      <c r="C518" s="314">
        <v>9100</v>
      </c>
      <c r="D518" s="313">
        <v>9100</v>
      </c>
      <c r="E518" s="313">
        <v>6600</v>
      </c>
      <c r="F518" s="313">
        <v>-2500</v>
      </c>
      <c r="G518" s="313">
        <v>210</v>
      </c>
      <c r="H518" s="313">
        <v>1650</v>
      </c>
    </row>
    <row r="519" spans="1:8" x14ac:dyDescent="0.2">
      <c r="A519" s="313">
        <v>1623000530</v>
      </c>
      <c r="B519" s="313" t="s">
        <v>636</v>
      </c>
      <c r="G519" s="313">
        <v>2954.87</v>
      </c>
      <c r="H519" s="313">
        <v>45000.23</v>
      </c>
    </row>
    <row r="520" spans="1:8" x14ac:dyDescent="0.2">
      <c r="A520" s="313">
        <v>1623000560</v>
      </c>
      <c r="B520" s="313" t="s">
        <v>637</v>
      </c>
      <c r="C520" s="314">
        <v>7486</v>
      </c>
      <c r="D520" s="313">
        <v>7486</v>
      </c>
      <c r="E520" s="313">
        <v>5594.57</v>
      </c>
      <c r="F520" s="313">
        <v>-1891.43</v>
      </c>
      <c r="G520" s="313">
        <v>7238.24</v>
      </c>
      <c r="H520" s="313">
        <v>1814</v>
      </c>
    </row>
    <row r="521" spans="1:8" x14ac:dyDescent="0.2">
      <c r="A521" s="313">
        <v>1623000570</v>
      </c>
      <c r="B521" s="313" t="s">
        <v>638</v>
      </c>
      <c r="C521" s="314">
        <v>372122</v>
      </c>
      <c r="D521" s="313">
        <v>372122</v>
      </c>
      <c r="E521" s="313">
        <v>280628.03000000003</v>
      </c>
      <c r="F521" s="313">
        <v>-91493.97</v>
      </c>
      <c r="G521" s="313">
        <v>492377.91</v>
      </c>
      <c r="H521" s="313">
        <v>336328.59</v>
      </c>
    </row>
    <row r="522" spans="1:8" x14ac:dyDescent="0.2">
      <c r="A522" s="313">
        <v>1623000580</v>
      </c>
      <c r="B522" s="313" t="s">
        <v>639</v>
      </c>
      <c r="C522" s="314">
        <v>40245</v>
      </c>
      <c r="D522" s="313">
        <v>40245</v>
      </c>
      <c r="E522" s="313">
        <v>39500.44</v>
      </c>
      <c r="F522" s="313">
        <v>-744.56</v>
      </c>
      <c r="G522" s="313">
        <v>103082.53</v>
      </c>
      <c r="H522" s="313">
        <v>4571</v>
      </c>
    </row>
    <row r="523" spans="1:8" x14ac:dyDescent="0.2">
      <c r="A523" s="313">
        <v>1623000720</v>
      </c>
      <c r="B523" s="313" t="s">
        <v>1780</v>
      </c>
      <c r="C523" s="314">
        <v>9323</v>
      </c>
      <c r="D523" s="313">
        <v>9323</v>
      </c>
      <c r="F523" s="313">
        <v>-9323</v>
      </c>
    </row>
    <row r="524" spans="1:8" x14ac:dyDescent="0.2">
      <c r="A524" s="313">
        <v>1623000750</v>
      </c>
      <c r="B524" s="313" t="s">
        <v>640</v>
      </c>
      <c r="C524" s="314">
        <v>4350000</v>
      </c>
      <c r="D524" s="313">
        <v>4350000</v>
      </c>
      <c r="E524" s="313">
        <v>2663075.2599999998</v>
      </c>
      <c r="F524" s="313">
        <v>-1686924.74</v>
      </c>
      <c r="G524" s="313">
        <v>4157230.07</v>
      </c>
      <c r="H524" s="313">
        <v>3295003.9</v>
      </c>
    </row>
    <row r="525" spans="1:8" x14ac:dyDescent="0.2">
      <c r="A525" s="313">
        <v>1623000751</v>
      </c>
      <c r="B525" s="313" t="s">
        <v>641</v>
      </c>
      <c r="C525" s="314">
        <v>1154</v>
      </c>
      <c r="D525" s="313">
        <v>1154</v>
      </c>
      <c r="F525" s="313">
        <v>-1154</v>
      </c>
      <c r="G525" s="313">
        <v>19486.05</v>
      </c>
      <c r="H525" s="313">
        <v>80422.7</v>
      </c>
    </row>
    <row r="526" spans="1:8" x14ac:dyDescent="0.2">
      <c r="A526" s="313">
        <v>1623000753</v>
      </c>
      <c r="B526" s="313" t="s">
        <v>32</v>
      </c>
      <c r="C526" s="314">
        <v>1303120</v>
      </c>
      <c r="D526" s="313">
        <v>1303120</v>
      </c>
      <c r="E526" s="313">
        <v>977894.74</v>
      </c>
      <c r="F526" s="313">
        <v>-325225.26</v>
      </c>
      <c r="G526" s="313">
        <v>1531058.83</v>
      </c>
      <c r="H526" s="313">
        <v>1072540.69</v>
      </c>
    </row>
    <row r="527" spans="1:8" x14ac:dyDescent="0.2">
      <c r="A527" s="313">
        <v>1623000780</v>
      </c>
      <c r="B527" s="313" t="s">
        <v>642</v>
      </c>
      <c r="C527" s="314">
        <v>146000</v>
      </c>
      <c r="D527" s="313">
        <v>146000</v>
      </c>
      <c r="E527" s="313">
        <v>117819.77</v>
      </c>
      <c r="F527" s="313">
        <v>-28180.23</v>
      </c>
      <c r="G527" s="313">
        <v>139228.28</v>
      </c>
      <c r="H527" s="313">
        <v>141239.89000000001</v>
      </c>
    </row>
    <row r="528" spans="1:8" x14ac:dyDescent="0.2">
      <c r="A528" s="313">
        <v>1623000930</v>
      </c>
      <c r="B528" s="313" t="s">
        <v>643</v>
      </c>
      <c r="C528" s="314">
        <v>8502</v>
      </c>
      <c r="D528" s="313">
        <v>8502</v>
      </c>
      <c r="E528" s="313">
        <v>8502</v>
      </c>
    </row>
    <row r="529" spans="1:8" x14ac:dyDescent="0.2">
      <c r="A529" s="313">
        <v>1623000980</v>
      </c>
      <c r="B529" s="313" t="s">
        <v>1781</v>
      </c>
      <c r="C529" s="314">
        <v>18352</v>
      </c>
      <c r="D529" s="313">
        <v>18352</v>
      </c>
      <c r="E529" s="313">
        <v>17317.349999999999</v>
      </c>
      <c r="F529" s="313">
        <v>-1034.6500000000001</v>
      </c>
    </row>
    <row r="530" spans="1:8" x14ac:dyDescent="0.2">
      <c r="A530" s="313">
        <v>1623100530</v>
      </c>
      <c r="B530" s="313" t="s">
        <v>1601</v>
      </c>
      <c r="C530" s="314">
        <v>60421</v>
      </c>
      <c r="D530" s="313">
        <v>60421</v>
      </c>
      <c r="E530" s="313">
        <v>46228.88</v>
      </c>
      <c r="F530" s="313">
        <v>-14192.12</v>
      </c>
      <c r="G530" s="313">
        <v>56222.3</v>
      </c>
    </row>
    <row r="531" spans="1:8" x14ac:dyDescent="0.2">
      <c r="A531" s="313">
        <v>1623100731</v>
      </c>
      <c r="B531" s="313" t="s">
        <v>1782</v>
      </c>
      <c r="C531" s="314">
        <v>7442</v>
      </c>
      <c r="D531" s="313">
        <v>7442</v>
      </c>
      <c r="E531" s="313">
        <v>1826.44</v>
      </c>
      <c r="F531" s="313">
        <v>-5615.56</v>
      </c>
      <c r="G531" s="313">
        <v>13308.42</v>
      </c>
    </row>
    <row r="532" spans="1:8" x14ac:dyDescent="0.2">
      <c r="A532" s="313">
        <v>1624000511</v>
      </c>
      <c r="B532" s="313" t="s">
        <v>1783</v>
      </c>
      <c r="C532" s="314">
        <v>1200</v>
      </c>
      <c r="D532" s="313">
        <v>1200</v>
      </c>
      <c r="E532" s="313">
        <v>430.11</v>
      </c>
      <c r="F532" s="313">
        <v>-769.89</v>
      </c>
    </row>
    <row r="533" spans="1:8" x14ac:dyDescent="0.2">
      <c r="A533" s="313">
        <v>1624000560</v>
      </c>
      <c r="B533" s="313" t="s">
        <v>1784</v>
      </c>
      <c r="C533" s="314">
        <v>1300</v>
      </c>
      <c r="D533" s="313">
        <v>1300</v>
      </c>
      <c r="E533" s="313">
        <v>470.31</v>
      </c>
      <c r="F533" s="313">
        <v>-829.69</v>
      </c>
    </row>
    <row r="534" spans="1:8" x14ac:dyDescent="0.2">
      <c r="A534" s="313">
        <v>1624000780</v>
      </c>
      <c r="B534" s="313" t="s">
        <v>1785</v>
      </c>
      <c r="C534" s="314">
        <v>1400</v>
      </c>
      <c r="D534" s="313">
        <v>1400</v>
      </c>
      <c r="E534" s="313">
        <v>1357.2</v>
      </c>
      <c r="F534" s="313">
        <v>-42.8</v>
      </c>
    </row>
    <row r="535" spans="1:8" x14ac:dyDescent="0.2">
      <c r="A535" s="313">
        <v>1624000930</v>
      </c>
      <c r="B535" s="313" t="s">
        <v>1604</v>
      </c>
      <c r="C535" s="314">
        <v>500</v>
      </c>
      <c r="D535" s="313">
        <v>500</v>
      </c>
      <c r="E535" s="313">
        <v>346.22</v>
      </c>
      <c r="F535" s="313">
        <v>-153.78</v>
      </c>
      <c r="G535" s="313">
        <v>2888.46</v>
      </c>
    </row>
    <row r="536" spans="1:8" x14ac:dyDescent="0.2">
      <c r="A536" s="313">
        <v>1711000511</v>
      </c>
      <c r="B536" s="313" t="s">
        <v>644</v>
      </c>
      <c r="C536" s="314">
        <v>5253</v>
      </c>
      <c r="D536" s="313">
        <v>5253</v>
      </c>
      <c r="E536" s="313">
        <v>2250.66</v>
      </c>
      <c r="F536" s="313">
        <v>-3002.34</v>
      </c>
      <c r="G536" s="313">
        <v>1800</v>
      </c>
      <c r="H536" s="313">
        <v>1932</v>
      </c>
    </row>
    <row r="537" spans="1:8" x14ac:dyDescent="0.2">
      <c r="A537" s="313">
        <v>1711000521</v>
      </c>
      <c r="B537" s="313" t="s">
        <v>646</v>
      </c>
      <c r="C537" s="314">
        <v>33466</v>
      </c>
      <c r="D537" s="313">
        <v>33466</v>
      </c>
      <c r="E537" s="313">
        <v>21599</v>
      </c>
      <c r="F537" s="313">
        <v>-11867</v>
      </c>
      <c r="G537" s="313">
        <v>12988.97</v>
      </c>
    </row>
    <row r="538" spans="1:8" x14ac:dyDescent="0.2">
      <c r="A538" s="313">
        <v>1711000560</v>
      </c>
      <c r="B538" s="313" t="s">
        <v>647</v>
      </c>
      <c r="C538" s="314">
        <v>4100</v>
      </c>
      <c r="D538" s="313">
        <v>4100</v>
      </c>
      <c r="E538" s="313">
        <v>2692.87</v>
      </c>
      <c r="F538" s="313">
        <v>-1407.13</v>
      </c>
      <c r="G538" s="313">
        <v>8729.85</v>
      </c>
      <c r="H538" s="313">
        <v>9470.02</v>
      </c>
    </row>
    <row r="539" spans="1:8" x14ac:dyDescent="0.2">
      <c r="A539" s="313">
        <v>1711000580</v>
      </c>
      <c r="B539" s="313" t="s">
        <v>648</v>
      </c>
      <c r="E539" s="313">
        <v>0</v>
      </c>
      <c r="H539" s="313">
        <v>535.87</v>
      </c>
    </row>
    <row r="540" spans="1:8" x14ac:dyDescent="0.2">
      <c r="A540" s="313">
        <v>1711000581</v>
      </c>
      <c r="B540" s="313" t="s">
        <v>1787</v>
      </c>
      <c r="C540" s="314">
        <v>6000</v>
      </c>
      <c r="D540" s="313">
        <v>6000</v>
      </c>
      <c r="E540" s="313">
        <v>4528.1899999999996</v>
      </c>
      <c r="F540" s="313">
        <v>-1471.81</v>
      </c>
    </row>
    <row r="541" spans="1:8" x14ac:dyDescent="0.2">
      <c r="A541" s="313">
        <v>1711000731</v>
      </c>
      <c r="B541" s="313" t="s">
        <v>1527</v>
      </c>
      <c r="H541" s="313">
        <v>18658.310000000001</v>
      </c>
    </row>
    <row r="542" spans="1:8" x14ac:dyDescent="0.2">
      <c r="A542" s="313">
        <v>1711000760</v>
      </c>
      <c r="B542" s="313" t="s">
        <v>552</v>
      </c>
      <c r="C542" s="314">
        <v>12600</v>
      </c>
      <c r="D542" s="313">
        <v>12600</v>
      </c>
      <c r="E542" s="313">
        <v>12463.04</v>
      </c>
      <c r="F542" s="313">
        <v>-136.96</v>
      </c>
    </row>
    <row r="543" spans="1:8" x14ac:dyDescent="0.2">
      <c r="A543" s="313">
        <v>1711000780</v>
      </c>
      <c r="B543" s="313" t="s">
        <v>650</v>
      </c>
      <c r="C543" s="314">
        <v>17700</v>
      </c>
      <c r="D543" s="313">
        <v>17700</v>
      </c>
      <c r="E543" s="313">
        <v>1200</v>
      </c>
      <c r="F543" s="313">
        <v>-16500</v>
      </c>
      <c r="G543" s="313">
        <v>2179.4</v>
      </c>
      <c r="H543" s="313">
        <v>3485.36</v>
      </c>
    </row>
    <row r="544" spans="1:8" x14ac:dyDescent="0.2">
      <c r="A544" s="313">
        <v>1711000930</v>
      </c>
      <c r="B544" s="313" t="s">
        <v>651</v>
      </c>
      <c r="C544" s="314">
        <v>5747</v>
      </c>
      <c r="D544" s="313">
        <v>5747</v>
      </c>
      <c r="E544" s="313">
        <v>4626.21</v>
      </c>
      <c r="F544" s="313">
        <v>-1120.79</v>
      </c>
      <c r="G544" s="313">
        <v>10016</v>
      </c>
      <c r="H544" s="313">
        <v>10000</v>
      </c>
    </row>
    <row r="545" spans="1:8" x14ac:dyDescent="0.2">
      <c r="A545" s="313">
        <v>1711003731</v>
      </c>
      <c r="B545" s="313" t="s">
        <v>113</v>
      </c>
      <c r="E545" s="313">
        <v>0</v>
      </c>
      <c r="G545" s="313">
        <v>8248</v>
      </c>
      <c r="H545" s="313">
        <v>8270</v>
      </c>
    </row>
    <row r="546" spans="1:8" x14ac:dyDescent="0.2">
      <c r="A546" s="313">
        <v>1711100980</v>
      </c>
      <c r="B546" s="313" t="s">
        <v>652</v>
      </c>
      <c r="C546" s="314">
        <v>0</v>
      </c>
      <c r="D546" s="313">
        <v>0</v>
      </c>
      <c r="E546" s="313">
        <v>0</v>
      </c>
      <c r="G546" s="313">
        <v>123362.85</v>
      </c>
      <c r="H546" s="313">
        <v>158215.70000000001</v>
      </c>
    </row>
    <row r="547" spans="1:8" x14ac:dyDescent="0.2">
      <c r="A547" s="313">
        <v>1712000731</v>
      </c>
      <c r="B547" s="313" t="s">
        <v>46</v>
      </c>
      <c r="C547" s="314">
        <v>114525</v>
      </c>
      <c r="D547" s="313">
        <v>114525</v>
      </c>
      <c r="E547" s="313">
        <v>96726.77</v>
      </c>
      <c r="F547" s="313">
        <v>-17798.23</v>
      </c>
      <c r="G547" s="313">
        <v>125581.6</v>
      </c>
      <c r="H547" s="313">
        <v>110524.06</v>
      </c>
    </row>
    <row r="548" spans="1:8" x14ac:dyDescent="0.2">
      <c r="A548" s="313">
        <v>1712001731</v>
      </c>
      <c r="B548" s="313" t="s">
        <v>47</v>
      </c>
      <c r="C548" s="314">
        <v>166500</v>
      </c>
      <c r="D548" s="313">
        <v>166500</v>
      </c>
      <c r="E548" s="313">
        <v>152409.74</v>
      </c>
      <c r="F548" s="313">
        <v>-14090.26</v>
      </c>
      <c r="G548" s="313">
        <v>123035.95</v>
      </c>
      <c r="H548" s="313">
        <v>105035.91</v>
      </c>
    </row>
    <row r="549" spans="1:8" x14ac:dyDescent="0.2">
      <c r="A549" s="313">
        <v>1712002731</v>
      </c>
      <c r="B549" s="313" t="s">
        <v>256</v>
      </c>
      <c r="C549" s="314">
        <v>118005</v>
      </c>
      <c r="D549" s="313">
        <v>118005</v>
      </c>
      <c r="E549" s="313">
        <v>110826.17</v>
      </c>
      <c r="F549" s="313">
        <v>-7178.83</v>
      </c>
      <c r="G549" s="313">
        <v>124594.95</v>
      </c>
      <c r="H549" s="313">
        <v>108325.29</v>
      </c>
    </row>
    <row r="550" spans="1:8" x14ac:dyDescent="0.2">
      <c r="A550" s="313">
        <v>1712003731</v>
      </c>
      <c r="B550" s="313" t="s">
        <v>257</v>
      </c>
      <c r="C550" s="314">
        <v>106983</v>
      </c>
      <c r="D550" s="313">
        <v>106983</v>
      </c>
      <c r="E550" s="313">
        <v>90766.61</v>
      </c>
      <c r="F550" s="313">
        <v>-16216.39</v>
      </c>
      <c r="G550" s="313">
        <v>99253.47</v>
      </c>
      <c r="H550" s="313">
        <v>75718.58</v>
      </c>
    </row>
    <row r="551" spans="1:8" x14ac:dyDescent="0.2">
      <c r="A551" s="313">
        <v>1712004731</v>
      </c>
      <c r="B551" s="313" t="s">
        <v>104</v>
      </c>
      <c r="C551" s="314">
        <v>102745</v>
      </c>
      <c r="D551" s="313">
        <v>102745</v>
      </c>
      <c r="E551" s="313">
        <v>96694.13</v>
      </c>
      <c r="F551" s="313">
        <v>-6050.87</v>
      </c>
      <c r="G551" s="313">
        <v>114260.43</v>
      </c>
      <c r="H551" s="313">
        <v>75083.86</v>
      </c>
    </row>
    <row r="552" spans="1:8" x14ac:dyDescent="0.2">
      <c r="A552" s="313">
        <v>1712005731</v>
      </c>
      <c r="B552" s="313" t="s">
        <v>1526</v>
      </c>
      <c r="C552" s="314">
        <v>136969</v>
      </c>
      <c r="D552" s="313">
        <v>136969</v>
      </c>
      <c r="E552" s="313">
        <v>113603.71</v>
      </c>
      <c r="F552" s="313">
        <v>-23365.29</v>
      </c>
      <c r="G552" s="313">
        <v>107870.74</v>
      </c>
      <c r="H552" s="313">
        <v>55784</v>
      </c>
    </row>
    <row r="553" spans="1:8" x14ac:dyDescent="0.2">
      <c r="A553" s="313">
        <v>1712006731</v>
      </c>
      <c r="B553" s="313" t="s">
        <v>1525</v>
      </c>
      <c r="C553" s="314">
        <v>135597</v>
      </c>
      <c r="D553" s="313">
        <v>135597</v>
      </c>
      <c r="E553" s="313">
        <v>108154.17</v>
      </c>
      <c r="F553" s="313">
        <v>-27442.83</v>
      </c>
      <c r="G553" s="313">
        <v>116408.6</v>
      </c>
      <c r="H553" s="313">
        <v>62234.65</v>
      </c>
    </row>
    <row r="554" spans="1:8" x14ac:dyDescent="0.2">
      <c r="A554" s="313">
        <v>1712200430</v>
      </c>
      <c r="B554" s="313" t="s">
        <v>1788</v>
      </c>
      <c r="C554" s="314">
        <v>65000</v>
      </c>
      <c r="D554" s="313">
        <v>59583.31</v>
      </c>
      <c r="E554" s="313">
        <v>47968.13</v>
      </c>
      <c r="F554" s="313">
        <v>-11615.18</v>
      </c>
      <c r="G554" s="313">
        <v>5535.11</v>
      </c>
    </row>
    <row r="555" spans="1:8" x14ac:dyDescent="0.2">
      <c r="A555" s="313">
        <v>1712200751</v>
      </c>
      <c r="B555" s="313" t="s">
        <v>656</v>
      </c>
      <c r="C555" s="314">
        <v>9760000</v>
      </c>
      <c r="D555" s="313">
        <v>9760000</v>
      </c>
      <c r="E555" s="313">
        <v>6510501.9500000002</v>
      </c>
      <c r="F555" s="313">
        <v>-3249498.05</v>
      </c>
      <c r="G555" s="313">
        <v>9197206</v>
      </c>
      <c r="H555" s="313">
        <v>8965459</v>
      </c>
    </row>
    <row r="556" spans="1:8" x14ac:dyDescent="0.2">
      <c r="A556" s="313">
        <v>1712200752</v>
      </c>
      <c r="B556" s="313" t="s">
        <v>657</v>
      </c>
      <c r="C556" s="314">
        <v>170000</v>
      </c>
      <c r="D556" s="313">
        <v>170000</v>
      </c>
      <c r="E556" s="313">
        <v>101400</v>
      </c>
      <c r="F556" s="313">
        <v>-68600</v>
      </c>
      <c r="G556" s="313">
        <v>99000</v>
      </c>
      <c r="H556" s="313">
        <v>85000</v>
      </c>
    </row>
    <row r="557" spans="1:8" x14ac:dyDescent="0.2">
      <c r="A557" s="313">
        <v>1712200753</v>
      </c>
      <c r="B557" s="313" t="s">
        <v>658</v>
      </c>
      <c r="C557" s="314">
        <v>21700</v>
      </c>
      <c r="D557" s="313">
        <v>21700</v>
      </c>
      <c r="E557" s="313">
        <v>10341.780000000001</v>
      </c>
      <c r="F557" s="313">
        <v>-11358.22</v>
      </c>
      <c r="G557" s="313">
        <v>20235.04</v>
      </c>
      <c r="H557" s="313">
        <v>21534.55</v>
      </c>
    </row>
    <row r="558" spans="1:8" x14ac:dyDescent="0.2">
      <c r="A558" s="313">
        <v>1712200754</v>
      </c>
      <c r="B558" s="313" t="s">
        <v>1550</v>
      </c>
      <c r="C558" s="314">
        <v>445614</v>
      </c>
      <c r="D558" s="313">
        <v>445614</v>
      </c>
      <c r="E558" s="313">
        <v>240014</v>
      </c>
      <c r="F558" s="313">
        <v>-205600</v>
      </c>
      <c r="G558" s="313">
        <v>94500</v>
      </c>
    </row>
    <row r="559" spans="1:8" x14ac:dyDescent="0.2">
      <c r="A559" s="313">
        <v>1712200755</v>
      </c>
      <c r="B559" s="313" t="s">
        <v>1643</v>
      </c>
      <c r="C559" s="314">
        <v>249584</v>
      </c>
      <c r="D559" s="313">
        <v>249584</v>
      </c>
      <c r="E559" s="313">
        <v>79184</v>
      </c>
      <c r="F559" s="313">
        <v>-170400</v>
      </c>
    </row>
    <row r="560" spans="1:8" x14ac:dyDescent="0.2">
      <c r="A560" s="313">
        <v>1712201731</v>
      </c>
      <c r="B560" s="313" t="s">
        <v>659</v>
      </c>
      <c r="E560" s="313">
        <v>-32</v>
      </c>
      <c r="F560" s="313">
        <v>-32</v>
      </c>
      <c r="G560" s="313">
        <v>8782.26</v>
      </c>
      <c r="H560" s="313">
        <v>18685.46</v>
      </c>
    </row>
    <row r="561" spans="1:8" x14ac:dyDescent="0.2">
      <c r="A561" s="313">
        <v>1712210750</v>
      </c>
      <c r="B561" s="313" t="s">
        <v>75</v>
      </c>
      <c r="C561" s="314">
        <v>600000</v>
      </c>
      <c r="D561" s="313">
        <v>600000</v>
      </c>
      <c r="E561" s="313">
        <v>488494</v>
      </c>
      <c r="F561" s="313">
        <v>-111506</v>
      </c>
      <c r="G561" s="313">
        <v>593582</v>
      </c>
      <c r="H561" s="313">
        <v>218014</v>
      </c>
    </row>
    <row r="562" spans="1:8" x14ac:dyDescent="0.2">
      <c r="A562" s="313">
        <v>1712210751</v>
      </c>
      <c r="B562" s="313" t="s">
        <v>1547</v>
      </c>
      <c r="C562" s="314">
        <v>318000</v>
      </c>
      <c r="D562" s="313">
        <v>318000</v>
      </c>
      <c r="E562" s="313">
        <v>278728.34000000003</v>
      </c>
      <c r="F562" s="313">
        <v>-39271.660000000003</v>
      </c>
      <c r="G562" s="313">
        <v>276505.71000000002</v>
      </c>
      <c r="H562" s="313">
        <v>10614</v>
      </c>
    </row>
    <row r="563" spans="1:8" x14ac:dyDescent="0.2">
      <c r="A563" s="313">
        <v>1712300560</v>
      </c>
      <c r="B563" s="313" t="s">
        <v>664</v>
      </c>
      <c r="C563" s="314">
        <v>1500</v>
      </c>
      <c r="D563" s="313">
        <v>1500</v>
      </c>
      <c r="F563" s="313">
        <v>-1500</v>
      </c>
      <c r="G563" s="313">
        <v>1158.3900000000001</v>
      </c>
      <c r="H563" s="313">
        <v>1160.32</v>
      </c>
    </row>
    <row r="564" spans="1:8" x14ac:dyDescent="0.2">
      <c r="A564" s="313">
        <v>1712300740</v>
      </c>
      <c r="B564" s="313" t="s">
        <v>665</v>
      </c>
      <c r="H564" s="313">
        <v>3114</v>
      </c>
    </row>
    <row r="565" spans="1:8" x14ac:dyDescent="0.2">
      <c r="A565" s="313">
        <v>1712300750</v>
      </c>
      <c r="B565" s="313" t="s">
        <v>666</v>
      </c>
      <c r="C565" s="314">
        <v>8021968</v>
      </c>
      <c r="D565" s="313">
        <v>8021968</v>
      </c>
      <c r="E565" s="313">
        <v>6527051</v>
      </c>
      <c r="F565" s="313">
        <v>-1494917</v>
      </c>
      <c r="G565" s="313">
        <v>7730013</v>
      </c>
      <c r="H565" s="313">
        <v>7673814</v>
      </c>
    </row>
    <row r="566" spans="1:8" x14ac:dyDescent="0.2">
      <c r="A566" s="313">
        <v>1712300752</v>
      </c>
      <c r="B566" s="313" t="s">
        <v>668</v>
      </c>
      <c r="C566" s="314">
        <v>336000</v>
      </c>
      <c r="D566" s="313">
        <v>336000</v>
      </c>
      <c r="E566" s="313">
        <v>177431</v>
      </c>
      <c r="F566" s="313">
        <v>-158569</v>
      </c>
      <c r="G566" s="313">
        <v>331362</v>
      </c>
      <c r="H566" s="313">
        <v>313638.40000000002</v>
      </c>
    </row>
    <row r="567" spans="1:8" x14ac:dyDescent="0.2">
      <c r="A567" s="313">
        <v>1712300753</v>
      </c>
      <c r="B567" s="313" t="s">
        <v>669</v>
      </c>
      <c r="C567" s="314">
        <v>100000</v>
      </c>
      <c r="D567" s="313">
        <v>100000</v>
      </c>
      <c r="E567" s="313">
        <v>89129</v>
      </c>
      <c r="F567" s="313">
        <v>-10871</v>
      </c>
      <c r="G567" s="313">
        <v>48684</v>
      </c>
      <c r="H567" s="313">
        <v>518984.45</v>
      </c>
    </row>
    <row r="568" spans="1:8" x14ac:dyDescent="0.2">
      <c r="A568" s="313">
        <v>1712300755</v>
      </c>
      <c r="B568" s="313" t="s">
        <v>671</v>
      </c>
      <c r="C568" s="314">
        <v>123190</v>
      </c>
      <c r="D568" s="313">
        <v>123190</v>
      </c>
      <c r="E568" s="313">
        <v>125634.56</v>
      </c>
      <c r="F568" s="313">
        <v>2444.56</v>
      </c>
      <c r="G568" s="313">
        <v>174537.19</v>
      </c>
      <c r="H568" s="313">
        <v>149867</v>
      </c>
    </row>
    <row r="569" spans="1:8" x14ac:dyDescent="0.2">
      <c r="A569" s="313">
        <v>1712300756</v>
      </c>
      <c r="B569" s="313" t="s">
        <v>1229</v>
      </c>
      <c r="C569" s="314">
        <v>87600</v>
      </c>
      <c r="D569" s="313">
        <v>87600</v>
      </c>
      <c r="E569" s="313">
        <v>66937</v>
      </c>
      <c r="F569" s="313">
        <v>-20663</v>
      </c>
      <c r="G569" s="313">
        <v>86884</v>
      </c>
      <c r="H569" s="313">
        <v>103533</v>
      </c>
    </row>
    <row r="570" spans="1:8" x14ac:dyDescent="0.2">
      <c r="A570" s="313">
        <v>1712300757</v>
      </c>
      <c r="B570" s="313" t="s">
        <v>1523</v>
      </c>
      <c r="C570" s="314">
        <v>10000</v>
      </c>
      <c r="D570" s="313">
        <v>10000</v>
      </c>
      <c r="E570" s="313">
        <v>518.33000000000004</v>
      </c>
      <c r="F570" s="313">
        <v>-9481.67</v>
      </c>
      <c r="G570" s="313">
        <v>147052.71</v>
      </c>
      <c r="H570" s="313">
        <v>15823</v>
      </c>
    </row>
    <row r="571" spans="1:8" x14ac:dyDescent="0.2">
      <c r="A571" s="313">
        <v>1712303731</v>
      </c>
      <c r="B571" s="313" t="s">
        <v>672</v>
      </c>
      <c r="C571" s="314">
        <v>218197</v>
      </c>
      <c r="D571" s="313">
        <v>218197</v>
      </c>
      <c r="E571" s="313">
        <v>150986.07999999999</v>
      </c>
      <c r="F571" s="313">
        <v>-67210.92</v>
      </c>
      <c r="G571" s="313">
        <v>188318.15</v>
      </c>
      <c r="H571" s="313">
        <v>144252.72</v>
      </c>
    </row>
    <row r="572" spans="1:8" x14ac:dyDescent="0.2">
      <c r="A572" s="313">
        <v>1712304731</v>
      </c>
      <c r="B572" s="313" t="s">
        <v>673</v>
      </c>
      <c r="C572" s="314">
        <v>113685</v>
      </c>
      <c r="D572" s="313">
        <v>113685</v>
      </c>
      <c r="E572" s="313">
        <v>79809.25</v>
      </c>
      <c r="F572" s="313">
        <v>-33875.75</v>
      </c>
      <c r="G572" s="313">
        <v>137073.22</v>
      </c>
      <c r="H572" s="313">
        <v>218187.21</v>
      </c>
    </row>
    <row r="573" spans="1:8" x14ac:dyDescent="0.2">
      <c r="A573" s="313">
        <v>1712305731</v>
      </c>
      <c r="B573" s="313" t="s">
        <v>110</v>
      </c>
      <c r="H573" s="313">
        <v>1463</v>
      </c>
    </row>
    <row r="574" spans="1:8" x14ac:dyDescent="0.2">
      <c r="A574" s="313">
        <v>1712306731</v>
      </c>
      <c r="B574" s="313" t="s">
        <v>1230</v>
      </c>
      <c r="G574" s="313">
        <v>2457</v>
      </c>
      <c r="H574" s="313">
        <v>515</v>
      </c>
    </row>
    <row r="575" spans="1:8" x14ac:dyDescent="0.2">
      <c r="A575" s="313">
        <v>1712309530</v>
      </c>
      <c r="B575" s="313" t="s">
        <v>1522</v>
      </c>
      <c r="H575" s="313">
        <v>4454.5</v>
      </c>
    </row>
    <row r="576" spans="1:8" x14ac:dyDescent="0.2">
      <c r="A576" s="313">
        <v>1712311731</v>
      </c>
      <c r="B576" s="313" t="s">
        <v>677</v>
      </c>
      <c r="C576" s="314">
        <v>1647</v>
      </c>
      <c r="D576" s="313">
        <v>1647</v>
      </c>
      <c r="E576" s="313">
        <v>1077</v>
      </c>
      <c r="F576" s="313">
        <v>-570</v>
      </c>
      <c r="G576" s="313">
        <v>1058.9000000000001</v>
      </c>
      <c r="H576" s="313">
        <v>1146</v>
      </c>
    </row>
    <row r="577" spans="1:8" x14ac:dyDescent="0.2">
      <c r="A577" s="313">
        <v>1712312731</v>
      </c>
      <c r="B577" s="313" t="s">
        <v>678</v>
      </c>
      <c r="C577" s="314">
        <v>52813</v>
      </c>
      <c r="D577" s="313">
        <v>52813</v>
      </c>
      <c r="E577" s="313">
        <v>39245.69</v>
      </c>
      <c r="F577" s="313">
        <v>-13567.31</v>
      </c>
      <c r="G577" s="313">
        <v>87894.81</v>
      </c>
      <c r="H577" s="313">
        <v>81086.52</v>
      </c>
    </row>
    <row r="578" spans="1:8" x14ac:dyDescent="0.2">
      <c r="A578" s="313">
        <v>1712314731</v>
      </c>
      <c r="B578" s="313" t="s">
        <v>679</v>
      </c>
      <c r="C578" s="314">
        <v>115229</v>
      </c>
      <c r="D578" s="313">
        <v>115229</v>
      </c>
      <c r="E578" s="313">
        <v>92843.01</v>
      </c>
      <c r="F578" s="313">
        <v>-22385.99</v>
      </c>
      <c r="G578" s="313">
        <v>103702.58</v>
      </c>
      <c r="H578" s="313">
        <v>114749.13</v>
      </c>
    </row>
    <row r="579" spans="1:8" x14ac:dyDescent="0.2">
      <c r="A579" s="313">
        <v>1712316731</v>
      </c>
      <c r="B579" s="313" t="s">
        <v>680</v>
      </c>
      <c r="C579" s="314">
        <v>135751</v>
      </c>
      <c r="D579" s="313">
        <v>135751</v>
      </c>
      <c r="E579" s="313">
        <v>103005.23</v>
      </c>
      <c r="F579" s="313">
        <v>-32745.77</v>
      </c>
      <c r="G579" s="313">
        <v>112498.93</v>
      </c>
      <c r="H579" s="313">
        <v>126335.54</v>
      </c>
    </row>
    <row r="580" spans="1:8" x14ac:dyDescent="0.2">
      <c r="A580" s="313">
        <v>1712400530</v>
      </c>
      <c r="B580" s="313" t="s">
        <v>1519</v>
      </c>
      <c r="C580" s="314">
        <v>108411</v>
      </c>
      <c r="D580" s="313">
        <v>108411</v>
      </c>
      <c r="E580" s="313">
        <v>88972.78</v>
      </c>
      <c r="F580" s="313">
        <v>-19438.22</v>
      </c>
      <c r="G580" s="313">
        <v>100788.81</v>
      </c>
      <c r="H580" s="313">
        <v>102966.19</v>
      </c>
    </row>
    <row r="581" spans="1:8" x14ac:dyDescent="0.2">
      <c r="A581" s="313">
        <v>1712409530</v>
      </c>
      <c r="B581" s="313" t="s">
        <v>1790</v>
      </c>
      <c r="C581" s="314">
        <v>12958</v>
      </c>
      <c r="D581" s="313">
        <v>12958</v>
      </c>
      <c r="E581" s="313">
        <v>11083.51</v>
      </c>
      <c r="F581" s="313">
        <v>-1874.49</v>
      </c>
      <c r="G581" s="313">
        <v>44823.24</v>
      </c>
      <c r="H581" s="313">
        <v>39765.199999999997</v>
      </c>
    </row>
    <row r="582" spans="1:8" x14ac:dyDescent="0.2">
      <c r="A582" s="313">
        <v>1712409731</v>
      </c>
      <c r="B582" s="313" t="s">
        <v>1518</v>
      </c>
      <c r="G582" s="313">
        <v>685.84</v>
      </c>
      <c r="H582" s="313">
        <v>2469.62</v>
      </c>
    </row>
    <row r="583" spans="1:8" x14ac:dyDescent="0.2">
      <c r="A583" s="313">
        <v>1712500750</v>
      </c>
      <c r="B583" s="313" t="s">
        <v>682</v>
      </c>
      <c r="C583" s="314">
        <v>3894667</v>
      </c>
      <c r="D583" s="313">
        <v>3894667</v>
      </c>
      <c r="E583" s="313">
        <v>2339043.5299999998</v>
      </c>
      <c r="F583" s="313">
        <v>-1555623.47</v>
      </c>
      <c r="G583" s="313">
        <v>2649921.19</v>
      </c>
      <c r="H583" s="313">
        <v>2261833</v>
      </c>
    </row>
    <row r="584" spans="1:8" x14ac:dyDescent="0.2">
      <c r="A584" s="313">
        <v>1712500751</v>
      </c>
      <c r="B584" s="313" t="s">
        <v>683</v>
      </c>
      <c r="C584" s="314">
        <v>519404</v>
      </c>
      <c r="D584" s="313">
        <v>519404</v>
      </c>
      <c r="E584" s="313">
        <v>259947.32</v>
      </c>
      <c r="F584" s="313">
        <v>-259456.68</v>
      </c>
      <c r="G584" s="313">
        <v>760986.18</v>
      </c>
      <c r="H584" s="313">
        <v>835420.69</v>
      </c>
    </row>
    <row r="585" spans="1:8" x14ac:dyDescent="0.2">
      <c r="A585" s="313">
        <v>1712500780</v>
      </c>
      <c r="B585" s="313" t="s">
        <v>1933</v>
      </c>
      <c r="C585" s="314">
        <v>40000</v>
      </c>
      <c r="D585" s="313">
        <v>40000</v>
      </c>
      <c r="E585" s="313">
        <v>11750.31</v>
      </c>
      <c r="F585" s="313">
        <v>-28249.69</v>
      </c>
    </row>
    <row r="586" spans="1:8" x14ac:dyDescent="0.2">
      <c r="A586" s="313">
        <v>1712501731</v>
      </c>
      <c r="B586" s="313" t="s">
        <v>684</v>
      </c>
      <c r="C586" s="314">
        <v>12827</v>
      </c>
      <c r="D586" s="313">
        <v>12827</v>
      </c>
      <c r="E586" s="313">
        <v>10589.67</v>
      </c>
      <c r="F586" s="313">
        <v>-2237.33</v>
      </c>
      <c r="G586" s="313">
        <v>11765.91</v>
      </c>
      <c r="H586" s="313">
        <v>16845.89</v>
      </c>
    </row>
    <row r="587" spans="1:8" x14ac:dyDescent="0.2">
      <c r="A587" s="313">
        <v>1712503731</v>
      </c>
      <c r="B587" s="313" t="s">
        <v>1616</v>
      </c>
      <c r="C587" s="314">
        <v>0</v>
      </c>
      <c r="D587" s="313">
        <v>0</v>
      </c>
      <c r="E587" s="313">
        <v>0</v>
      </c>
      <c r="G587" s="313">
        <v>12730.97</v>
      </c>
    </row>
    <row r="588" spans="1:8" x14ac:dyDescent="0.2">
      <c r="A588" s="313">
        <v>1712504731</v>
      </c>
      <c r="B588" s="313" t="s">
        <v>2059</v>
      </c>
      <c r="E588" s="313">
        <v>256.35000000000002</v>
      </c>
      <c r="F588" s="313">
        <v>256.35000000000002</v>
      </c>
      <c r="G588" s="313">
        <v>0</v>
      </c>
    </row>
    <row r="589" spans="1:8" x14ac:dyDescent="0.2">
      <c r="A589" s="313">
        <v>1712506731</v>
      </c>
      <c r="B589" s="313" t="s">
        <v>2060</v>
      </c>
      <c r="C589" s="314">
        <v>78586</v>
      </c>
      <c r="D589" s="313">
        <v>78586</v>
      </c>
      <c r="F589" s="313">
        <v>-78586</v>
      </c>
    </row>
    <row r="590" spans="1:8" x14ac:dyDescent="0.2">
      <c r="A590" s="313">
        <v>1712509530</v>
      </c>
      <c r="B590" s="313" t="s">
        <v>1793</v>
      </c>
      <c r="E590" s="313">
        <v>0</v>
      </c>
      <c r="G590" s="313">
        <v>13745.32</v>
      </c>
    </row>
    <row r="591" spans="1:8" x14ac:dyDescent="0.2">
      <c r="A591" s="313">
        <v>1712600731</v>
      </c>
      <c r="B591" s="313" t="s">
        <v>1794</v>
      </c>
      <c r="C591" s="314">
        <v>10411</v>
      </c>
      <c r="D591" s="313">
        <v>10411</v>
      </c>
      <c r="E591" s="313">
        <v>2520.11</v>
      </c>
      <c r="F591" s="313">
        <v>-7890.89</v>
      </c>
      <c r="G591" s="313">
        <v>17842.87</v>
      </c>
      <c r="H591" s="313">
        <v>15836.9</v>
      </c>
    </row>
    <row r="592" spans="1:8" x14ac:dyDescent="0.2">
      <c r="A592" s="313">
        <v>1712800731</v>
      </c>
      <c r="B592" s="313" t="s">
        <v>1795</v>
      </c>
      <c r="C592" s="314">
        <v>9851</v>
      </c>
      <c r="D592" s="313">
        <v>9851</v>
      </c>
      <c r="E592" s="313">
        <v>1309.79</v>
      </c>
      <c r="F592" s="313">
        <v>-8541.2099999999991</v>
      </c>
      <c r="G592" s="313">
        <v>13741.13</v>
      </c>
      <c r="H592" s="313">
        <v>15283</v>
      </c>
    </row>
    <row r="593" spans="1:8" x14ac:dyDescent="0.2">
      <c r="A593" s="313">
        <v>1713000731</v>
      </c>
      <c r="B593" s="313" t="s">
        <v>686</v>
      </c>
      <c r="C593" s="314">
        <v>48994</v>
      </c>
      <c r="D593" s="313">
        <v>48994</v>
      </c>
      <c r="E593" s="313">
        <v>38086.160000000003</v>
      </c>
      <c r="F593" s="313">
        <v>-10907.84</v>
      </c>
      <c r="G593" s="313">
        <v>25698.32</v>
      </c>
      <c r="H593" s="313">
        <v>31178.52</v>
      </c>
    </row>
    <row r="594" spans="1:8" x14ac:dyDescent="0.2">
      <c r="A594" s="313">
        <v>1713001731</v>
      </c>
      <c r="B594" s="313" t="s">
        <v>1450</v>
      </c>
      <c r="G594" s="313">
        <v>2510.73</v>
      </c>
      <c r="H594" s="313">
        <v>13866.28</v>
      </c>
    </row>
    <row r="595" spans="1:8" x14ac:dyDescent="0.2">
      <c r="A595" s="313">
        <v>1713002731</v>
      </c>
      <c r="B595" s="313" t="s">
        <v>1451</v>
      </c>
      <c r="C595" s="314">
        <v>2256</v>
      </c>
      <c r="D595" s="313">
        <v>2256</v>
      </c>
      <c r="E595" s="313">
        <v>677</v>
      </c>
      <c r="F595" s="313">
        <v>-1579</v>
      </c>
      <c r="G595" s="313">
        <v>5234</v>
      </c>
      <c r="H595" s="313">
        <v>3253</v>
      </c>
    </row>
    <row r="596" spans="1:8" x14ac:dyDescent="0.2">
      <c r="A596" s="313">
        <v>1714200560</v>
      </c>
      <c r="B596" s="313" t="s">
        <v>687</v>
      </c>
      <c r="C596" s="314">
        <v>500</v>
      </c>
      <c r="D596" s="313">
        <v>500</v>
      </c>
      <c r="E596" s="313">
        <v>287.52</v>
      </c>
      <c r="F596" s="313">
        <v>-212.48</v>
      </c>
      <c r="G596" s="313">
        <v>473.81</v>
      </c>
      <c r="H596" s="313">
        <v>387.07</v>
      </c>
    </row>
    <row r="597" spans="1:8" x14ac:dyDescent="0.2">
      <c r="A597" s="313">
        <v>1714200580</v>
      </c>
      <c r="B597" s="313" t="s">
        <v>688</v>
      </c>
      <c r="C597" s="314">
        <v>284200</v>
      </c>
      <c r="D597" s="313">
        <v>284200</v>
      </c>
      <c r="E597" s="313">
        <v>40600</v>
      </c>
      <c r="F597" s="313">
        <v>-243600</v>
      </c>
      <c r="G597" s="313">
        <v>447295</v>
      </c>
      <c r="H597" s="313">
        <v>298960</v>
      </c>
    </row>
    <row r="598" spans="1:8" x14ac:dyDescent="0.2">
      <c r="A598" s="313">
        <v>1714200581</v>
      </c>
      <c r="B598" s="313" t="s">
        <v>1796</v>
      </c>
      <c r="C598" s="314">
        <v>1440</v>
      </c>
      <c r="D598" s="313">
        <v>1440</v>
      </c>
      <c r="E598" s="313">
        <v>504.34</v>
      </c>
      <c r="F598" s="313">
        <v>-935.66</v>
      </c>
    </row>
    <row r="599" spans="1:8" x14ac:dyDescent="0.2">
      <c r="A599" s="313">
        <v>1714200720</v>
      </c>
      <c r="B599" s="313" t="s">
        <v>689</v>
      </c>
      <c r="C599" s="314">
        <v>57098</v>
      </c>
      <c r="D599" s="313">
        <v>57098</v>
      </c>
      <c r="E599" s="313">
        <v>35814.67</v>
      </c>
      <c r="F599" s="313">
        <v>-21283.33</v>
      </c>
      <c r="G599" s="313">
        <v>38140.36</v>
      </c>
      <c r="H599" s="313">
        <v>37339.46</v>
      </c>
    </row>
    <row r="600" spans="1:8" x14ac:dyDescent="0.2">
      <c r="A600" s="313">
        <v>1714200731</v>
      </c>
      <c r="B600" s="313" t="s">
        <v>1517</v>
      </c>
      <c r="C600" s="314">
        <v>26920</v>
      </c>
      <c r="D600" s="313">
        <v>26920</v>
      </c>
      <c r="E600" s="313">
        <v>21600.799999999999</v>
      </c>
      <c r="F600" s="313">
        <v>-5319.2</v>
      </c>
      <c r="G600" s="313">
        <v>28265.55</v>
      </c>
      <c r="H600" s="313">
        <v>28466.54</v>
      </c>
    </row>
    <row r="601" spans="1:8" x14ac:dyDescent="0.2">
      <c r="A601" s="313">
        <v>1714200781</v>
      </c>
      <c r="B601" s="313" t="s">
        <v>691</v>
      </c>
      <c r="G601" s="313">
        <v>1400</v>
      </c>
      <c r="H601" s="313">
        <v>3540</v>
      </c>
    </row>
    <row r="602" spans="1:8" x14ac:dyDescent="0.2">
      <c r="A602" s="313">
        <v>1714300731</v>
      </c>
      <c r="B602" s="313" t="s">
        <v>692</v>
      </c>
      <c r="C602" s="314">
        <v>1647</v>
      </c>
      <c r="D602" s="313">
        <v>1647</v>
      </c>
      <c r="E602" s="313">
        <v>700</v>
      </c>
      <c r="F602" s="313">
        <v>-947</v>
      </c>
      <c r="G602" s="313">
        <v>1009</v>
      </c>
      <c r="H602" s="313">
        <v>1370</v>
      </c>
    </row>
    <row r="603" spans="1:8" x14ac:dyDescent="0.2">
      <c r="A603" s="313">
        <v>1714300750</v>
      </c>
      <c r="B603" s="313" t="s">
        <v>693</v>
      </c>
      <c r="H603" s="313">
        <v>23000</v>
      </c>
    </row>
    <row r="604" spans="1:8" x14ac:dyDescent="0.2">
      <c r="A604" s="313">
        <v>1714300830</v>
      </c>
      <c r="B604" s="313" t="s">
        <v>694</v>
      </c>
      <c r="C604" s="314">
        <v>53000</v>
      </c>
      <c r="D604" s="313">
        <v>53000</v>
      </c>
      <c r="E604" s="313">
        <v>52980</v>
      </c>
      <c r="F604" s="313">
        <v>-20</v>
      </c>
      <c r="G604" s="313">
        <v>52446</v>
      </c>
      <c r="H604" s="313">
        <v>54331</v>
      </c>
    </row>
    <row r="605" spans="1:8" x14ac:dyDescent="0.2">
      <c r="A605" s="313">
        <v>1715200511</v>
      </c>
      <c r="B605" s="313" t="s">
        <v>1797</v>
      </c>
      <c r="C605" s="314">
        <v>1073.68</v>
      </c>
      <c r="D605" s="313">
        <v>1073.68</v>
      </c>
      <c r="E605" s="313">
        <v>659.9</v>
      </c>
      <c r="F605" s="313">
        <v>-413.78</v>
      </c>
    </row>
    <row r="606" spans="1:8" x14ac:dyDescent="0.2">
      <c r="A606" s="313">
        <v>1715200512</v>
      </c>
      <c r="B606" s="313" t="s">
        <v>1798</v>
      </c>
      <c r="C606" s="314">
        <v>1500</v>
      </c>
      <c r="D606" s="313">
        <v>1500</v>
      </c>
      <c r="E606" s="313">
        <v>542.9</v>
      </c>
      <c r="F606" s="313">
        <v>-957.1</v>
      </c>
    </row>
    <row r="607" spans="1:8" x14ac:dyDescent="0.2">
      <c r="A607" s="313">
        <v>1715200570</v>
      </c>
      <c r="B607" s="313" t="s">
        <v>1799</v>
      </c>
      <c r="C607" s="314">
        <v>1755</v>
      </c>
      <c r="D607" s="313">
        <v>1755</v>
      </c>
      <c r="E607" s="313">
        <v>1087.06</v>
      </c>
      <c r="F607" s="313">
        <v>-667.94</v>
      </c>
    </row>
    <row r="608" spans="1:8" x14ac:dyDescent="0.2">
      <c r="A608" s="313">
        <v>1715200720</v>
      </c>
      <c r="B608" s="313" t="s">
        <v>689</v>
      </c>
      <c r="C608" s="314">
        <v>37671.32</v>
      </c>
      <c r="D608" s="313">
        <v>37671.32</v>
      </c>
      <c r="E608" s="313">
        <v>35516.550000000003</v>
      </c>
      <c r="F608" s="313">
        <v>-2154.77</v>
      </c>
      <c r="G608" s="313">
        <v>46888.1</v>
      </c>
      <c r="H608" s="313">
        <v>27967.21</v>
      </c>
    </row>
    <row r="609" spans="1:8" x14ac:dyDescent="0.2">
      <c r="A609" s="313">
        <v>1715200780</v>
      </c>
      <c r="B609" s="313" t="s">
        <v>835</v>
      </c>
      <c r="C609" s="314">
        <v>2000</v>
      </c>
      <c r="D609" s="313">
        <v>2000</v>
      </c>
      <c r="E609" s="313">
        <v>1342.1</v>
      </c>
      <c r="F609" s="313">
        <v>-657.9</v>
      </c>
    </row>
    <row r="610" spans="1:8" x14ac:dyDescent="0.2">
      <c r="A610" s="313">
        <v>1715300750</v>
      </c>
      <c r="B610" s="313" t="s">
        <v>695</v>
      </c>
      <c r="C610" s="314">
        <v>54756</v>
      </c>
      <c r="D610" s="313">
        <v>54756</v>
      </c>
      <c r="E610" s="313">
        <v>45630</v>
      </c>
      <c r="F610" s="313">
        <v>-9126</v>
      </c>
      <c r="G610" s="313">
        <v>54756</v>
      </c>
      <c r="H610" s="313">
        <v>55107</v>
      </c>
    </row>
    <row r="611" spans="1:8" x14ac:dyDescent="0.2">
      <c r="A611" s="313">
        <v>1722000430</v>
      </c>
      <c r="B611" s="313" t="s">
        <v>696</v>
      </c>
      <c r="C611" s="314">
        <v>37000</v>
      </c>
      <c r="D611" s="313">
        <v>37000</v>
      </c>
      <c r="E611" s="313">
        <v>27133.62</v>
      </c>
      <c r="F611" s="313">
        <v>-9866.3799999999992</v>
      </c>
      <c r="G611" s="313">
        <v>38800.18</v>
      </c>
      <c r="H611" s="313">
        <v>42137.84</v>
      </c>
    </row>
    <row r="612" spans="1:8" x14ac:dyDescent="0.2">
      <c r="A612" s="313">
        <v>1722000511</v>
      </c>
      <c r="B612" s="313" t="s">
        <v>697</v>
      </c>
      <c r="C612" s="314">
        <v>4450</v>
      </c>
      <c r="D612" s="313">
        <v>4450</v>
      </c>
      <c r="E612" s="313">
        <v>2768.2</v>
      </c>
      <c r="F612" s="313">
        <v>-1681.8</v>
      </c>
      <c r="G612" s="313">
        <v>5000</v>
      </c>
      <c r="H612" s="313">
        <v>5087.45</v>
      </c>
    </row>
    <row r="613" spans="1:8" x14ac:dyDescent="0.2">
      <c r="A613" s="313">
        <v>1722000530</v>
      </c>
      <c r="B613" s="313" t="s">
        <v>700</v>
      </c>
      <c r="H613" s="313">
        <v>6506.9</v>
      </c>
    </row>
    <row r="614" spans="1:8" x14ac:dyDescent="0.2">
      <c r="A614" s="313">
        <v>1722000540</v>
      </c>
      <c r="B614" s="313" t="s">
        <v>698</v>
      </c>
      <c r="C614" s="314">
        <v>55280</v>
      </c>
      <c r="D614" s="313">
        <v>55280</v>
      </c>
      <c r="E614" s="313">
        <v>37266</v>
      </c>
      <c r="F614" s="313">
        <v>-18014</v>
      </c>
      <c r="G614" s="313">
        <v>179393.11</v>
      </c>
      <c r="H614" s="313">
        <v>95994.48</v>
      </c>
    </row>
    <row r="615" spans="1:8" x14ac:dyDescent="0.2">
      <c r="A615" s="313">
        <v>1722000550</v>
      </c>
      <c r="B615" s="313" t="s">
        <v>699</v>
      </c>
      <c r="C615" s="314">
        <v>12050</v>
      </c>
      <c r="D615" s="313">
        <v>12050</v>
      </c>
      <c r="F615" s="313">
        <v>-12050</v>
      </c>
      <c r="G615" s="313">
        <v>4500</v>
      </c>
      <c r="H615" s="313">
        <v>9000</v>
      </c>
    </row>
    <row r="616" spans="1:8" x14ac:dyDescent="0.2">
      <c r="A616" s="313">
        <v>1722000560</v>
      </c>
      <c r="B616" s="313" t="s">
        <v>820</v>
      </c>
      <c r="C616" s="314">
        <v>2500</v>
      </c>
      <c r="D616" s="313">
        <v>2500</v>
      </c>
      <c r="E616" s="313">
        <v>1294.95</v>
      </c>
      <c r="F616" s="313">
        <v>-1205.05</v>
      </c>
    </row>
    <row r="617" spans="1:8" x14ac:dyDescent="0.2">
      <c r="A617" s="313">
        <v>1722000581</v>
      </c>
      <c r="B617" s="313" t="s">
        <v>1800</v>
      </c>
      <c r="C617" s="314">
        <v>660</v>
      </c>
      <c r="D617" s="313">
        <v>660</v>
      </c>
      <c r="E617" s="313">
        <v>528.87</v>
      </c>
      <c r="F617" s="313">
        <v>-131.13</v>
      </c>
    </row>
    <row r="618" spans="1:8" x14ac:dyDescent="0.2">
      <c r="A618" s="313">
        <v>1722000750</v>
      </c>
      <c r="B618" s="313" t="s">
        <v>701</v>
      </c>
      <c r="C618" s="314">
        <v>200000</v>
      </c>
      <c r="D618" s="313">
        <v>200000</v>
      </c>
      <c r="E618" s="313">
        <v>178927.6</v>
      </c>
      <c r="F618" s="313">
        <v>-21072.400000000001</v>
      </c>
      <c r="G618" s="313">
        <v>1352068.73</v>
      </c>
      <c r="H618" s="313">
        <v>811754.1</v>
      </c>
    </row>
    <row r="619" spans="1:8" x14ac:dyDescent="0.2">
      <c r="A619" s="313">
        <v>1722000751</v>
      </c>
      <c r="B619" s="313" t="s">
        <v>702</v>
      </c>
      <c r="C619" s="314">
        <v>121348</v>
      </c>
      <c r="D619" s="313">
        <v>121348</v>
      </c>
      <c r="E619" s="313">
        <v>43103</v>
      </c>
      <c r="F619" s="313">
        <v>-78245</v>
      </c>
      <c r="G619" s="313">
        <v>51464.73</v>
      </c>
      <c r="H619" s="313">
        <v>59375.4</v>
      </c>
    </row>
    <row r="620" spans="1:8" x14ac:dyDescent="0.2">
      <c r="A620" s="313">
        <v>1722000753</v>
      </c>
      <c r="B620" s="313" t="s">
        <v>1515</v>
      </c>
      <c r="C620" s="314">
        <v>230000</v>
      </c>
      <c r="D620" s="313">
        <v>230000</v>
      </c>
      <c r="E620" s="313">
        <v>219908</v>
      </c>
      <c r="F620" s="313">
        <v>-10092</v>
      </c>
      <c r="G620" s="313">
        <v>177001</v>
      </c>
      <c r="H620" s="313">
        <v>80920</v>
      </c>
    </row>
    <row r="621" spans="1:8" x14ac:dyDescent="0.2">
      <c r="A621" s="313">
        <v>1722000754</v>
      </c>
      <c r="B621" s="313" t="s">
        <v>1609</v>
      </c>
      <c r="C621" s="314">
        <v>468000</v>
      </c>
      <c r="D621" s="313">
        <v>468000</v>
      </c>
      <c r="E621" s="313">
        <v>468000</v>
      </c>
      <c r="G621" s="313">
        <v>77999</v>
      </c>
    </row>
    <row r="622" spans="1:8" x14ac:dyDescent="0.2">
      <c r="A622" s="313">
        <v>1722000755</v>
      </c>
      <c r="B622" s="313" t="s">
        <v>1642</v>
      </c>
      <c r="C622" s="314">
        <v>249201</v>
      </c>
      <c r="D622" s="313">
        <v>249201</v>
      </c>
      <c r="E622" s="313">
        <v>249201.46</v>
      </c>
      <c r="F622" s="313">
        <v>0.46</v>
      </c>
    </row>
    <row r="623" spans="1:8" x14ac:dyDescent="0.2">
      <c r="A623" s="313">
        <v>1722000757</v>
      </c>
      <c r="B623" s="313" t="s">
        <v>1942</v>
      </c>
      <c r="C623" s="314">
        <v>50000</v>
      </c>
      <c r="D623" s="313">
        <v>50000</v>
      </c>
      <c r="E623" s="313">
        <v>176207.29</v>
      </c>
      <c r="F623" s="313">
        <v>126207.29</v>
      </c>
    </row>
    <row r="624" spans="1:8" x14ac:dyDescent="0.2">
      <c r="A624" s="313">
        <v>1722000910</v>
      </c>
      <c r="B624" s="313" t="s">
        <v>1148</v>
      </c>
      <c r="C624" s="314">
        <v>1994084</v>
      </c>
      <c r="D624" s="313">
        <v>1994084</v>
      </c>
      <c r="E624" s="313">
        <v>1657156.98</v>
      </c>
      <c r="F624" s="313">
        <v>-336927.02</v>
      </c>
      <c r="G624" s="313">
        <v>42000</v>
      </c>
      <c r="H624" s="313">
        <v>66406</v>
      </c>
    </row>
    <row r="625" spans="1:8" x14ac:dyDescent="0.2">
      <c r="A625" s="313">
        <v>1722000930</v>
      </c>
      <c r="B625" s="313" t="s">
        <v>1803</v>
      </c>
      <c r="G625" s="313">
        <v>4000</v>
      </c>
      <c r="H625" s="313">
        <v>8000</v>
      </c>
    </row>
    <row r="626" spans="1:8" x14ac:dyDescent="0.2">
      <c r="A626" s="313">
        <v>1722000980</v>
      </c>
      <c r="B626" s="313" t="s">
        <v>580</v>
      </c>
      <c r="C626" s="314">
        <v>2840</v>
      </c>
      <c r="D626" s="313">
        <v>2840</v>
      </c>
      <c r="E626" s="313">
        <v>1851.02</v>
      </c>
      <c r="F626" s="313">
        <v>-988.98</v>
      </c>
      <c r="G626" s="313">
        <v>5747.53</v>
      </c>
      <c r="H626" s="313">
        <v>6674.62</v>
      </c>
    </row>
    <row r="627" spans="1:8" x14ac:dyDescent="0.2">
      <c r="A627" s="313">
        <v>1722001731</v>
      </c>
      <c r="B627" s="313" t="s">
        <v>1804</v>
      </c>
      <c r="C627" s="314">
        <v>14301</v>
      </c>
      <c r="D627" s="313">
        <v>14301</v>
      </c>
      <c r="E627" s="313">
        <v>4170.32</v>
      </c>
      <c r="F627" s="313">
        <v>-10130.68</v>
      </c>
      <c r="G627" s="313">
        <v>14388.1</v>
      </c>
      <c r="H627" s="313">
        <v>21622.9</v>
      </c>
    </row>
    <row r="628" spans="1:8" x14ac:dyDescent="0.2">
      <c r="A628" s="313">
        <v>1722002530</v>
      </c>
      <c r="B628" s="313" t="s">
        <v>1456</v>
      </c>
      <c r="C628" s="314">
        <v>112585</v>
      </c>
      <c r="D628" s="313">
        <v>112585</v>
      </c>
      <c r="E628" s="313">
        <v>87959.94</v>
      </c>
      <c r="F628" s="313">
        <v>-24625.06</v>
      </c>
      <c r="G628" s="313">
        <v>18251.900000000001</v>
      </c>
      <c r="H628" s="313">
        <v>113409.68</v>
      </c>
    </row>
    <row r="629" spans="1:8" x14ac:dyDescent="0.2">
      <c r="A629" s="313">
        <v>1722002731</v>
      </c>
      <c r="B629" s="313" t="s">
        <v>1514</v>
      </c>
      <c r="H629" s="313">
        <v>5584.37</v>
      </c>
    </row>
    <row r="630" spans="1:8" x14ac:dyDescent="0.2">
      <c r="A630" s="313">
        <v>1722003530</v>
      </c>
      <c r="B630" s="313" t="s">
        <v>1457</v>
      </c>
      <c r="C630" s="314">
        <v>87701</v>
      </c>
      <c r="D630" s="313">
        <v>87701</v>
      </c>
      <c r="E630" s="313">
        <v>67551.13</v>
      </c>
      <c r="F630" s="313">
        <v>-20149.87</v>
      </c>
      <c r="G630" s="313">
        <v>99731.54</v>
      </c>
      <c r="H630" s="313">
        <v>103742.74</v>
      </c>
    </row>
    <row r="631" spans="1:8" x14ac:dyDescent="0.2">
      <c r="A631" s="313">
        <v>1722003731</v>
      </c>
      <c r="B631" s="313" t="s">
        <v>1513</v>
      </c>
      <c r="H631" s="313">
        <v>9763.16</v>
      </c>
    </row>
    <row r="632" spans="1:8" x14ac:dyDescent="0.2">
      <c r="A632" s="313">
        <v>1722004731</v>
      </c>
      <c r="B632" s="313" t="s">
        <v>1805</v>
      </c>
      <c r="C632" s="314">
        <v>13301</v>
      </c>
      <c r="D632" s="313">
        <v>13301</v>
      </c>
      <c r="E632" s="313">
        <v>3566.76</v>
      </c>
      <c r="F632" s="313">
        <v>-9734.24</v>
      </c>
      <c r="G632" s="313">
        <v>12946.27</v>
      </c>
      <c r="H632" s="313">
        <v>20134.759999999998</v>
      </c>
    </row>
    <row r="633" spans="1:8" x14ac:dyDescent="0.2">
      <c r="A633" s="313">
        <v>1722005731</v>
      </c>
      <c r="B633" s="313" t="s">
        <v>1806</v>
      </c>
      <c r="C633" s="314">
        <v>16431</v>
      </c>
      <c r="D633" s="313">
        <v>16431</v>
      </c>
      <c r="E633" s="313">
        <v>3929.08</v>
      </c>
      <c r="F633" s="313">
        <v>-12501.92</v>
      </c>
      <c r="G633" s="313">
        <v>17619.580000000002</v>
      </c>
      <c r="H633" s="313">
        <v>25176.6</v>
      </c>
    </row>
    <row r="634" spans="1:8" x14ac:dyDescent="0.2">
      <c r="A634" s="313">
        <v>1722006731</v>
      </c>
      <c r="B634" s="313" t="s">
        <v>1807</v>
      </c>
      <c r="C634" s="314">
        <v>21371</v>
      </c>
      <c r="D634" s="313">
        <v>21371</v>
      </c>
      <c r="E634" s="313">
        <v>11897.76</v>
      </c>
      <c r="F634" s="313">
        <v>-9473.24</v>
      </c>
      <c r="G634" s="313">
        <v>15344.97</v>
      </c>
      <c r="H634" s="313">
        <v>19911.72</v>
      </c>
    </row>
    <row r="635" spans="1:8" x14ac:dyDescent="0.2">
      <c r="A635" s="313">
        <v>1722008731</v>
      </c>
      <c r="B635" s="313" t="s">
        <v>1330</v>
      </c>
      <c r="C635" s="314">
        <v>44670</v>
      </c>
      <c r="D635" s="313">
        <v>44670</v>
      </c>
      <c r="E635" s="313">
        <v>37038.31</v>
      </c>
      <c r="F635" s="313">
        <v>-7631.69</v>
      </c>
      <c r="G635" s="313">
        <v>33494.080000000002</v>
      </c>
      <c r="H635" s="313">
        <v>48601.72</v>
      </c>
    </row>
    <row r="636" spans="1:8" x14ac:dyDescent="0.2">
      <c r="A636" s="313">
        <v>1722009731</v>
      </c>
      <c r="B636" s="313" t="s">
        <v>1610</v>
      </c>
      <c r="C636" s="314">
        <v>27239</v>
      </c>
      <c r="D636" s="313">
        <v>27239</v>
      </c>
      <c r="E636" s="313">
        <v>21626.23</v>
      </c>
      <c r="F636" s="313">
        <v>-5612.77</v>
      </c>
      <c r="G636" s="313">
        <v>22597.82</v>
      </c>
    </row>
    <row r="637" spans="1:8" x14ac:dyDescent="0.2">
      <c r="A637" s="313">
        <v>1722100530</v>
      </c>
      <c r="B637" s="313" t="s">
        <v>1611</v>
      </c>
      <c r="C637" s="314">
        <v>55344</v>
      </c>
      <c r="D637" s="313">
        <v>55344</v>
      </c>
      <c r="E637" s="313">
        <v>45179.89</v>
      </c>
      <c r="F637" s="313">
        <v>-10164.11</v>
      </c>
      <c r="G637" s="313">
        <v>45816.51</v>
      </c>
    </row>
    <row r="638" spans="1:8" x14ac:dyDescent="0.2">
      <c r="A638" s="313">
        <v>1722100780</v>
      </c>
      <c r="B638" s="313" t="s">
        <v>580</v>
      </c>
      <c r="H638" s="313">
        <v>62700</v>
      </c>
    </row>
    <row r="639" spans="1:8" x14ac:dyDescent="0.2">
      <c r="A639" s="313">
        <v>1723000420</v>
      </c>
      <c r="B639" s="313" t="s">
        <v>712</v>
      </c>
      <c r="C639" s="314">
        <v>85140</v>
      </c>
      <c r="D639" s="313">
        <v>85140</v>
      </c>
      <c r="E639" s="313">
        <v>43009.9</v>
      </c>
      <c r="F639" s="313">
        <v>-42130.1</v>
      </c>
      <c r="G639" s="313">
        <v>33443.25</v>
      </c>
    </row>
    <row r="640" spans="1:8" x14ac:dyDescent="0.2">
      <c r="A640" s="313">
        <v>1723000430</v>
      </c>
      <c r="B640" s="313" t="s">
        <v>713</v>
      </c>
      <c r="C640" s="314">
        <v>39281</v>
      </c>
      <c r="D640" s="313">
        <v>39281</v>
      </c>
      <c r="E640" s="313">
        <v>21544.12</v>
      </c>
      <c r="F640" s="313">
        <v>-17736.88</v>
      </c>
      <c r="G640" s="313">
        <v>19777.82</v>
      </c>
      <c r="H640" s="313">
        <v>25867.54</v>
      </c>
    </row>
    <row r="641" spans="1:8" x14ac:dyDescent="0.2">
      <c r="A641" s="313">
        <v>1723000731</v>
      </c>
      <c r="B641" s="313" t="s">
        <v>1332</v>
      </c>
      <c r="C641" s="314">
        <v>17131</v>
      </c>
      <c r="D641" s="313">
        <v>17131</v>
      </c>
      <c r="E641" s="313">
        <v>6328.21</v>
      </c>
      <c r="F641" s="313">
        <v>-10802.79</v>
      </c>
      <c r="G641" s="313">
        <v>14810.39</v>
      </c>
      <c r="H641" s="313">
        <v>17809.349999999999</v>
      </c>
    </row>
    <row r="642" spans="1:8" x14ac:dyDescent="0.2">
      <c r="A642" s="313">
        <v>1723000750</v>
      </c>
      <c r="B642" s="313" t="s">
        <v>714</v>
      </c>
      <c r="H642" s="313">
        <v>4295.55</v>
      </c>
    </row>
    <row r="643" spans="1:8" x14ac:dyDescent="0.2">
      <c r="A643" s="313">
        <v>1723000751</v>
      </c>
      <c r="B643" s="313" t="s">
        <v>77</v>
      </c>
      <c r="C643" s="314">
        <v>13000</v>
      </c>
      <c r="D643" s="313">
        <v>13000</v>
      </c>
      <c r="E643" s="313">
        <v>12932</v>
      </c>
      <c r="F643" s="313">
        <v>-68</v>
      </c>
      <c r="G643" s="313">
        <v>84226.19</v>
      </c>
      <c r="H643" s="313">
        <v>29724.75</v>
      </c>
    </row>
    <row r="644" spans="1:8" x14ac:dyDescent="0.2">
      <c r="A644" s="313">
        <v>1723000810</v>
      </c>
      <c r="B644" s="313" t="s">
        <v>715</v>
      </c>
      <c r="C644" s="314">
        <v>325000</v>
      </c>
      <c r="D644" s="313">
        <v>325000</v>
      </c>
      <c r="E644" s="313">
        <v>294004</v>
      </c>
      <c r="F644" s="313">
        <v>-30996</v>
      </c>
      <c r="G644" s="313">
        <v>284110</v>
      </c>
      <c r="H644" s="313">
        <v>309122.93</v>
      </c>
    </row>
    <row r="645" spans="1:8" x14ac:dyDescent="0.2">
      <c r="A645" s="313">
        <v>1724000731</v>
      </c>
      <c r="B645" s="313" t="s">
        <v>2061</v>
      </c>
      <c r="C645" s="314">
        <v>8616</v>
      </c>
      <c r="D645" s="313">
        <v>8616</v>
      </c>
      <c r="E645" s="313">
        <v>8616.52</v>
      </c>
      <c r="F645" s="313">
        <v>0.52</v>
      </c>
      <c r="G645" s="313">
        <v>0</v>
      </c>
    </row>
    <row r="646" spans="1:8" x14ac:dyDescent="0.2">
      <c r="A646" s="313">
        <v>1724000830</v>
      </c>
      <c r="B646" s="313" t="s">
        <v>718</v>
      </c>
      <c r="C646" s="314">
        <v>409359</v>
      </c>
      <c r="D646" s="313">
        <v>409359</v>
      </c>
      <c r="E646" s="313">
        <v>409359</v>
      </c>
      <c r="G646" s="313">
        <v>414336</v>
      </c>
      <c r="H646" s="313">
        <v>414336</v>
      </c>
    </row>
    <row r="647" spans="1:8" x14ac:dyDescent="0.2">
      <c r="A647" s="313">
        <v>1725000910</v>
      </c>
      <c r="B647" s="313" t="s">
        <v>741</v>
      </c>
      <c r="H647" s="313">
        <v>11905.42</v>
      </c>
    </row>
    <row r="648" spans="1:8" x14ac:dyDescent="0.2">
      <c r="A648" s="313">
        <v>1731000440</v>
      </c>
      <c r="B648" s="313" t="s">
        <v>719</v>
      </c>
      <c r="C648" s="314">
        <v>72900</v>
      </c>
      <c r="D648" s="313">
        <v>72900</v>
      </c>
      <c r="F648" s="313">
        <v>-72900</v>
      </c>
      <c r="G648" s="313">
        <v>72900</v>
      </c>
      <c r="H648" s="313">
        <v>72900</v>
      </c>
    </row>
    <row r="649" spans="1:8" x14ac:dyDescent="0.2">
      <c r="A649" s="313">
        <v>1731000450</v>
      </c>
      <c r="B649" s="313" t="s">
        <v>720</v>
      </c>
      <c r="H649" s="313">
        <v>1574.99</v>
      </c>
    </row>
    <row r="650" spans="1:8" x14ac:dyDescent="0.2">
      <c r="A650" s="313">
        <v>1731000511</v>
      </c>
      <c r="B650" s="313" t="s">
        <v>721</v>
      </c>
      <c r="C650" s="314">
        <v>3000</v>
      </c>
      <c r="D650" s="313">
        <v>3000</v>
      </c>
      <c r="E650" s="313">
        <v>2509.9499999999998</v>
      </c>
      <c r="F650" s="313">
        <v>-490.05</v>
      </c>
      <c r="G650" s="313">
        <v>3000</v>
      </c>
      <c r="H650" s="313">
        <v>3100.01</v>
      </c>
    </row>
    <row r="651" spans="1:8" x14ac:dyDescent="0.2">
      <c r="A651" s="313">
        <v>1731000512</v>
      </c>
      <c r="B651" s="313" t="s">
        <v>722</v>
      </c>
      <c r="C651" s="314">
        <v>251</v>
      </c>
      <c r="D651" s="313">
        <v>251</v>
      </c>
      <c r="E651" s="313">
        <v>251</v>
      </c>
    </row>
    <row r="652" spans="1:8" x14ac:dyDescent="0.2">
      <c r="A652" s="313">
        <v>1731000520</v>
      </c>
      <c r="B652" s="313" t="s">
        <v>571</v>
      </c>
      <c r="C652" s="314">
        <v>4316</v>
      </c>
      <c r="D652" s="313">
        <v>4316</v>
      </c>
      <c r="E652" s="313">
        <v>3855.3</v>
      </c>
      <c r="F652" s="313">
        <v>-460.7</v>
      </c>
      <c r="G652" s="313">
        <v>478</v>
      </c>
      <c r="H652" s="313">
        <v>540</v>
      </c>
    </row>
    <row r="653" spans="1:8" x14ac:dyDescent="0.2">
      <c r="A653" s="313">
        <v>1731000521</v>
      </c>
      <c r="B653" s="313" t="s">
        <v>646</v>
      </c>
      <c r="C653" s="314">
        <v>19296</v>
      </c>
      <c r="D653" s="313">
        <v>19296</v>
      </c>
      <c r="E653" s="313">
        <v>8194</v>
      </c>
      <c r="F653" s="313">
        <v>-11102</v>
      </c>
      <c r="G653" s="313">
        <v>8783</v>
      </c>
      <c r="H653" s="313">
        <v>8570</v>
      </c>
    </row>
    <row r="654" spans="1:8" x14ac:dyDescent="0.2">
      <c r="A654" s="313">
        <v>1731000522</v>
      </c>
      <c r="B654" s="313" t="s">
        <v>723</v>
      </c>
      <c r="C654" s="314">
        <v>2500</v>
      </c>
      <c r="D654" s="313">
        <v>2500</v>
      </c>
      <c r="E654" s="313">
        <v>2500</v>
      </c>
      <c r="G654" s="313">
        <v>1364</v>
      </c>
      <c r="H654" s="313">
        <v>1575</v>
      </c>
    </row>
    <row r="655" spans="1:8" x14ac:dyDescent="0.2">
      <c r="A655" s="313">
        <v>1731000523</v>
      </c>
      <c r="B655" s="313" t="s">
        <v>724</v>
      </c>
      <c r="C655" s="314">
        <v>6470</v>
      </c>
      <c r="D655" s="313">
        <v>6470</v>
      </c>
      <c r="E655" s="313">
        <v>6470</v>
      </c>
      <c r="G655" s="313">
        <v>1600</v>
      </c>
      <c r="H655" s="313">
        <v>1600</v>
      </c>
    </row>
    <row r="656" spans="1:8" x14ac:dyDescent="0.2">
      <c r="A656" s="313">
        <v>1731000530</v>
      </c>
      <c r="B656" s="313" t="s">
        <v>1811</v>
      </c>
      <c r="C656" s="314">
        <v>69833</v>
      </c>
      <c r="D656" s="313">
        <v>69833</v>
      </c>
      <c r="E656" s="313">
        <v>58679.55</v>
      </c>
      <c r="F656" s="313">
        <v>-11153.45</v>
      </c>
      <c r="G656" s="313">
        <v>81732.73</v>
      </c>
      <c r="H656" s="313">
        <v>78809.77</v>
      </c>
    </row>
    <row r="657" spans="1:8" x14ac:dyDescent="0.2">
      <c r="A657" s="313">
        <v>1731000550</v>
      </c>
      <c r="B657" s="313" t="s">
        <v>727</v>
      </c>
      <c r="C657" s="314">
        <v>9000</v>
      </c>
      <c r="D657" s="313">
        <v>9000</v>
      </c>
      <c r="E657" s="313">
        <v>9000</v>
      </c>
      <c r="G657" s="313">
        <v>5771.11</v>
      </c>
      <c r="H657" s="313">
        <v>4000</v>
      </c>
    </row>
    <row r="658" spans="1:8" x14ac:dyDescent="0.2">
      <c r="A658" s="313">
        <v>1731000560</v>
      </c>
      <c r="B658" s="313" t="s">
        <v>728</v>
      </c>
      <c r="C658" s="314">
        <v>9749</v>
      </c>
      <c r="D658" s="313">
        <v>9749</v>
      </c>
      <c r="E658" s="313">
        <v>6174.82</v>
      </c>
      <c r="F658" s="313">
        <v>-3574.18</v>
      </c>
      <c r="G658" s="313">
        <v>9897.5</v>
      </c>
      <c r="H658" s="313">
        <v>16729.560000000001</v>
      </c>
    </row>
    <row r="659" spans="1:8" x14ac:dyDescent="0.2">
      <c r="A659" s="313">
        <v>1731000570</v>
      </c>
      <c r="B659" s="313" t="s">
        <v>729</v>
      </c>
      <c r="C659" s="314">
        <v>73456</v>
      </c>
      <c r="D659" s="313">
        <v>73456</v>
      </c>
      <c r="E659" s="313">
        <v>49799.1</v>
      </c>
      <c r="F659" s="313">
        <v>-23656.9</v>
      </c>
      <c r="G659" s="313">
        <v>107894.81</v>
      </c>
      <c r="H659" s="313">
        <v>112994.81</v>
      </c>
    </row>
    <row r="660" spans="1:8" x14ac:dyDescent="0.2">
      <c r="A660" s="313">
        <v>1731000580</v>
      </c>
      <c r="B660" s="313" t="s">
        <v>1235</v>
      </c>
      <c r="G660" s="313">
        <v>6780.4</v>
      </c>
    </row>
    <row r="661" spans="1:8" x14ac:dyDescent="0.2">
      <c r="A661" s="313">
        <v>1731000581</v>
      </c>
      <c r="B661" s="313" t="s">
        <v>1812</v>
      </c>
      <c r="C661" s="314">
        <v>34832</v>
      </c>
      <c r="D661" s="313">
        <v>34832</v>
      </c>
      <c r="E661" s="313">
        <v>25880.22</v>
      </c>
      <c r="F661" s="313">
        <v>-8951.7800000000007</v>
      </c>
    </row>
    <row r="662" spans="1:8" x14ac:dyDescent="0.2">
      <c r="A662" s="313">
        <v>1731000750</v>
      </c>
      <c r="B662" s="313" t="s">
        <v>730</v>
      </c>
      <c r="C662" s="314">
        <v>159000</v>
      </c>
      <c r="D662" s="313">
        <v>159000</v>
      </c>
      <c r="E662" s="313">
        <v>155368</v>
      </c>
      <c r="F662" s="313">
        <v>-3632</v>
      </c>
      <c r="G662" s="313">
        <v>207276</v>
      </c>
      <c r="H662" s="313">
        <v>24780.57</v>
      </c>
    </row>
    <row r="663" spans="1:8" x14ac:dyDescent="0.2">
      <c r="A663" s="313">
        <v>1731000780</v>
      </c>
      <c r="B663" s="313" t="s">
        <v>731</v>
      </c>
      <c r="C663" s="314">
        <v>154273</v>
      </c>
      <c r="D663" s="313">
        <v>154273</v>
      </c>
      <c r="E663" s="313">
        <v>102274.55</v>
      </c>
      <c r="F663" s="313">
        <v>-51998.45</v>
      </c>
      <c r="G663" s="313">
        <v>112509.64</v>
      </c>
      <c r="H663" s="313">
        <v>123561.25</v>
      </c>
    </row>
    <row r="664" spans="1:8" x14ac:dyDescent="0.2">
      <c r="A664" s="313">
        <v>1731000910</v>
      </c>
      <c r="B664" s="313" t="s">
        <v>716</v>
      </c>
      <c r="G664" s="313">
        <v>90000</v>
      </c>
    </row>
    <row r="665" spans="1:8" x14ac:dyDescent="0.2">
      <c r="A665" s="313">
        <v>1731000930</v>
      </c>
      <c r="B665" s="313" t="s">
        <v>732</v>
      </c>
      <c r="C665" s="314">
        <v>3500</v>
      </c>
      <c r="D665" s="313">
        <v>3500</v>
      </c>
      <c r="E665" s="313">
        <v>3265.88</v>
      </c>
      <c r="F665" s="313">
        <v>-234.12</v>
      </c>
      <c r="G665" s="313">
        <v>3501.15</v>
      </c>
      <c r="H665" s="313">
        <v>3480</v>
      </c>
    </row>
    <row r="666" spans="1:8" x14ac:dyDescent="0.2">
      <c r="A666" s="313">
        <v>1731100530</v>
      </c>
      <c r="B666" s="313" t="s">
        <v>1813</v>
      </c>
      <c r="C666" s="314">
        <v>66511</v>
      </c>
      <c r="D666" s="313">
        <v>66511</v>
      </c>
      <c r="E666" s="313">
        <v>54044.76</v>
      </c>
      <c r="F666" s="313">
        <v>-12466.24</v>
      </c>
      <c r="G666" s="313">
        <v>56228.52</v>
      </c>
      <c r="H666" s="313">
        <v>57577.9</v>
      </c>
    </row>
    <row r="667" spans="1:8" x14ac:dyDescent="0.2">
      <c r="A667" s="313">
        <v>1732000511</v>
      </c>
      <c r="B667" s="313" t="s">
        <v>721</v>
      </c>
      <c r="C667" s="314">
        <v>100</v>
      </c>
      <c r="D667" s="313">
        <v>100</v>
      </c>
      <c r="E667" s="313">
        <v>9.9</v>
      </c>
      <c r="F667" s="313">
        <v>-90.1</v>
      </c>
    </row>
    <row r="668" spans="1:8" x14ac:dyDescent="0.2">
      <c r="A668" s="313">
        <v>1732000512</v>
      </c>
      <c r="B668" s="313" t="s">
        <v>1814</v>
      </c>
      <c r="C668" s="314">
        <v>500</v>
      </c>
      <c r="D668" s="313">
        <v>500</v>
      </c>
      <c r="E668" s="313">
        <v>305.98</v>
      </c>
      <c r="F668" s="313">
        <v>-194.02</v>
      </c>
    </row>
    <row r="669" spans="1:8" x14ac:dyDescent="0.2">
      <c r="A669" s="313">
        <v>1732000530</v>
      </c>
      <c r="B669" s="313" t="s">
        <v>1815</v>
      </c>
      <c r="C669" s="314">
        <v>60000</v>
      </c>
      <c r="D669" s="313">
        <v>60000</v>
      </c>
      <c r="E669" s="313">
        <v>44990.28</v>
      </c>
      <c r="F669" s="313">
        <v>-15009.72</v>
      </c>
    </row>
    <row r="670" spans="1:8" x14ac:dyDescent="0.2">
      <c r="A670" s="313">
        <v>1732000560</v>
      </c>
      <c r="B670" s="313" t="s">
        <v>728</v>
      </c>
      <c r="C670" s="314">
        <v>1580</v>
      </c>
      <c r="D670" s="313">
        <v>1580</v>
      </c>
      <c r="E670" s="313">
        <v>1441.6</v>
      </c>
      <c r="F670" s="313">
        <v>-138.4</v>
      </c>
      <c r="G670" s="313">
        <v>1756.44</v>
      </c>
      <c r="H670" s="313">
        <v>2469.91</v>
      </c>
    </row>
    <row r="671" spans="1:8" x14ac:dyDescent="0.2">
      <c r="A671" s="313">
        <v>1732000581</v>
      </c>
      <c r="B671" s="313" t="s">
        <v>1816</v>
      </c>
      <c r="C671" s="314">
        <v>420</v>
      </c>
      <c r="D671" s="313">
        <v>420</v>
      </c>
      <c r="F671" s="313">
        <v>-420</v>
      </c>
    </row>
    <row r="672" spans="1:8" x14ac:dyDescent="0.2">
      <c r="A672" s="313">
        <v>1732000750</v>
      </c>
      <c r="B672" s="313" t="s">
        <v>730</v>
      </c>
      <c r="C672" s="314">
        <v>8500</v>
      </c>
      <c r="D672" s="313">
        <v>8500</v>
      </c>
      <c r="E672" s="313">
        <v>6832.5</v>
      </c>
      <c r="F672" s="313">
        <v>-1667.5</v>
      </c>
      <c r="G672" s="313">
        <v>10426.379999999999</v>
      </c>
      <c r="H672" s="313">
        <v>12337.04</v>
      </c>
    </row>
    <row r="673" spans="1:8" x14ac:dyDescent="0.2">
      <c r="A673" s="313">
        <v>1732000780</v>
      </c>
      <c r="B673" s="313" t="s">
        <v>731</v>
      </c>
      <c r="C673" s="314">
        <v>51110</v>
      </c>
      <c r="D673" s="313">
        <v>51110</v>
      </c>
      <c r="E673" s="313">
        <v>20846.509999999998</v>
      </c>
      <c r="F673" s="313">
        <v>-30263.49</v>
      </c>
      <c r="G673" s="313">
        <v>25000</v>
      </c>
      <c r="H673" s="313">
        <v>24860.77</v>
      </c>
    </row>
    <row r="674" spans="1:8" x14ac:dyDescent="0.2">
      <c r="A674" s="313">
        <v>1732000950</v>
      </c>
      <c r="B674" s="313" t="s">
        <v>735</v>
      </c>
      <c r="C674" s="314">
        <v>22367</v>
      </c>
      <c r="D674" s="313">
        <v>22367</v>
      </c>
      <c r="E674" s="313">
        <v>15844.8</v>
      </c>
      <c r="F674" s="313">
        <v>-6522.2</v>
      </c>
      <c r="H674" s="313">
        <v>4999.45</v>
      </c>
    </row>
    <row r="675" spans="1:8" x14ac:dyDescent="0.2">
      <c r="A675" s="313">
        <v>1733100511</v>
      </c>
      <c r="B675" s="313" t="s">
        <v>1817</v>
      </c>
      <c r="C675" s="314">
        <v>4300</v>
      </c>
      <c r="D675" s="313">
        <v>4300</v>
      </c>
      <c r="E675" s="313">
        <v>1245.93</v>
      </c>
      <c r="F675" s="313">
        <v>-3054.07</v>
      </c>
    </row>
    <row r="676" spans="1:8" x14ac:dyDescent="0.2">
      <c r="A676" s="313">
        <v>1733100531</v>
      </c>
      <c r="B676" s="313" t="s">
        <v>1818</v>
      </c>
      <c r="C676" s="314">
        <v>1600</v>
      </c>
      <c r="D676" s="313">
        <v>1600</v>
      </c>
      <c r="F676" s="313">
        <v>-1600</v>
      </c>
    </row>
    <row r="677" spans="1:8" x14ac:dyDescent="0.2">
      <c r="A677" s="313">
        <v>1733100560</v>
      </c>
      <c r="B677" s="313" t="s">
        <v>728</v>
      </c>
      <c r="C677" s="314">
        <v>2000</v>
      </c>
      <c r="D677" s="313">
        <v>2000</v>
      </c>
      <c r="E677" s="313">
        <v>570.17999999999995</v>
      </c>
      <c r="F677" s="313">
        <v>-1429.82</v>
      </c>
      <c r="G677" s="313">
        <v>3425.13</v>
      </c>
      <c r="H677" s="313">
        <v>4499.25</v>
      </c>
    </row>
    <row r="678" spans="1:8" x14ac:dyDescent="0.2">
      <c r="A678" s="313">
        <v>1733100731</v>
      </c>
      <c r="B678" s="313" t="s">
        <v>1819</v>
      </c>
      <c r="C678" s="314">
        <v>14621</v>
      </c>
      <c r="D678" s="313">
        <v>14621</v>
      </c>
      <c r="E678" s="313">
        <v>4179.8999999999996</v>
      </c>
      <c r="F678" s="313">
        <v>-10441.1</v>
      </c>
      <c r="G678" s="313">
        <v>15221.71</v>
      </c>
      <c r="H678" s="313">
        <v>18216.11</v>
      </c>
    </row>
    <row r="679" spans="1:8" x14ac:dyDescent="0.2">
      <c r="A679" s="313">
        <v>1733100780</v>
      </c>
      <c r="B679" s="313" t="s">
        <v>731</v>
      </c>
      <c r="C679" s="314">
        <v>409.4</v>
      </c>
      <c r="D679" s="313">
        <v>409.4</v>
      </c>
      <c r="F679" s="313">
        <v>-409.4</v>
      </c>
      <c r="G679" s="313">
        <v>2665</v>
      </c>
      <c r="H679" s="313">
        <v>2821.53</v>
      </c>
    </row>
    <row r="680" spans="1:8" x14ac:dyDescent="0.2">
      <c r="A680" s="313">
        <v>1733100930</v>
      </c>
      <c r="B680" s="313" t="s">
        <v>732</v>
      </c>
      <c r="C680" s="314">
        <v>4440.6000000000004</v>
      </c>
      <c r="D680" s="313">
        <v>4440.6000000000004</v>
      </c>
      <c r="E680" s="313">
        <v>2550.6</v>
      </c>
      <c r="F680" s="313">
        <v>-1890</v>
      </c>
      <c r="G680" s="313">
        <v>3029.2</v>
      </c>
      <c r="H680" s="313">
        <v>4500</v>
      </c>
    </row>
    <row r="681" spans="1:8" x14ac:dyDescent="0.2">
      <c r="A681" s="313">
        <v>1733110530</v>
      </c>
      <c r="B681" s="313" t="s">
        <v>1606</v>
      </c>
      <c r="C681" s="314">
        <v>40000</v>
      </c>
      <c r="D681" s="313">
        <v>40000</v>
      </c>
      <c r="E681" s="313">
        <v>26798.83</v>
      </c>
      <c r="F681" s="313">
        <v>-13201.17</v>
      </c>
    </row>
    <row r="682" spans="1:8" x14ac:dyDescent="0.2">
      <c r="A682" s="313">
        <v>1733200731</v>
      </c>
      <c r="B682" s="313" t="s">
        <v>1820</v>
      </c>
      <c r="C682" s="314">
        <v>26000</v>
      </c>
      <c r="D682" s="313">
        <v>26000</v>
      </c>
      <c r="F682" s="313">
        <v>-26000</v>
      </c>
    </row>
    <row r="683" spans="1:8" x14ac:dyDescent="0.2">
      <c r="A683" s="313">
        <v>1733200780</v>
      </c>
      <c r="B683" s="313" t="s">
        <v>580</v>
      </c>
      <c r="C683" s="314">
        <v>4000</v>
      </c>
      <c r="D683" s="313">
        <v>4000</v>
      </c>
      <c r="E683" s="313">
        <v>753.89</v>
      </c>
      <c r="F683" s="313">
        <v>-3246.11</v>
      </c>
      <c r="G683" s="313">
        <v>3874.8</v>
      </c>
      <c r="H683" s="313">
        <v>6246.3</v>
      </c>
    </row>
    <row r="684" spans="1:8" x14ac:dyDescent="0.2">
      <c r="A684" s="313">
        <v>1741000750</v>
      </c>
      <c r="B684" s="313" t="s">
        <v>736</v>
      </c>
      <c r="H684" s="313">
        <v>40157.370000000003</v>
      </c>
    </row>
    <row r="685" spans="1:8" x14ac:dyDescent="0.2">
      <c r="A685" s="313">
        <v>1742000440</v>
      </c>
      <c r="B685" s="313" t="s">
        <v>558</v>
      </c>
      <c r="C685" s="314">
        <v>51217</v>
      </c>
      <c r="D685" s="313">
        <v>51217</v>
      </c>
      <c r="E685" s="313">
        <v>46948.91</v>
      </c>
      <c r="F685" s="313">
        <v>-4268.09</v>
      </c>
      <c r="G685" s="313">
        <v>15591.23</v>
      </c>
      <c r="H685" s="313">
        <v>11010.05</v>
      </c>
    </row>
    <row r="686" spans="1:8" x14ac:dyDescent="0.2">
      <c r="A686" s="313">
        <v>1742000720</v>
      </c>
      <c r="B686" s="313" t="s">
        <v>689</v>
      </c>
      <c r="C686" s="314">
        <v>90000</v>
      </c>
      <c r="D686" s="313">
        <v>90000</v>
      </c>
      <c r="E686" s="313">
        <v>32059.95</v>
      </c>
      <c r="F686" s="313">
        <v>-57940.05</v>
      </c>
      <c r="G686" s="313">
        <v>50144.800000000003</v>
      </c>
      <c r="H686" s="313">
        <v>86121.73</v>
      </c>
    </row>
    <row r="687" spans="1:8" x14ac:dyDescent="0.2">
      <c r="A687" s="313">
        <v>1742000750</v>
      </c>
      <c r="B687" s="313" t="s">
        <v>714</v>
      </c>
      <c r="C687" s="314">
        <v>12721</v>
      </c>
      <c r="D687" s="313">
        <v>12721</v>
      </c>
      <c r="E687" s="313">
        <v>12713.46</v>
      </c>
      <c r="F687" s="313">
        <v>-7.54</v>
      </c>
      <c r="G687" s="313">
        <v>79674.990000000005</v>
      </c>
      <c r="H687" s="313">
        <v>84278.12</v>
      </c>
    </row>
    <row r="688" spans="1:8" x14ac:dyDescent="0.2">
      <c r="A688" s="313">
        <v>1742000910</v>
      </c>
      <c r="B688" s="313" t="s">
        <v>738</v>
      </c>
      <c r="C688" s="314">
        <v>230000</v>
      </c>
      <c r="D688" s="313">
        <v>230000</v>
      </c>
      <c r="F688" s="313">
        <v>-230000</v>
      </c>
      <c r="G688" s="313">
        <v>172859.11</v>
      </c>
      <c r="H688" s="313">
        <v>60000</v>
      </c>
    </row>
    <row r="689" spans="1:8" x14ac:dyDescent="0.2">
      <c r="A689" s="313">
        <v>1742000930</v>
      </c>
      <c r="B689" s="313" t="s">
        <v>739</v>
      </c>
      <c r="C689" s="314">
        <v>5000</v>
      </c>
      <c r="D689" s="313">
        <v>5000</v>
      </c>
      <c r="E689" s="313">
        <v>1489.6</v>
      </c>
      <c r="F689" s="313">
        <v>-3510.4</v>
      </c>
      <c r="G689" s="313">
        <v>18627</v>
      </c>
      <c r="H689" s="313">
        <v>14158.99</v>
      </c>
    </row>
    <row r="690" spans="1:8" x14ac:dyDescent="0.2">
      <c r="A690" s="313">
        <v>1743000511</v>
      </c>
      <c r="B690" s="313" t="s">
        <v>1821</v>
      </c>
      <c r="C690" s="314">
        <v>2000</v>
      </c>
      <c r="D690" s="313">
        <v>2000</v>
      </c>
      <c r="E690" s="313">
        <v>213.7</v>
      </c>
      <c r="F690" s="313">
        <v>-1786.3</v>
      </c>
    </row>
    <row r="691" spans="1:8" x14ac:dyDescent="0.2">
      <c r="A691" s="313">
        <v>1743000720</v>
      </c>
      <c r="B691" s="313" t="s">
        <v>826</v>
      </c>
      <c r="C691" s="314">
        <v>217000</v>
      </c>
      <c r="D691" s="313">
        <v>217000</v>
      </c>
      <c r="E691" s="313">
        <v>72072.509999999995</v>
      </c>
      <c r="F691" s="313">
        <v>-144927.49</v>
      </c>
      <c r="G691" s="313">
        <v>179487.3</v>
      </c>
      <c r="H691" s="313">
        <v>216328.4</v>
      </c>
    </row>
    <row r="692" spans="1:8" x14ac:dyDescent="0.2">
      <c r="A692" s="313">
        <v>1743000740</v>
      </c>
      <c r="B692" s="313" t="s">
        <v>737</v>
      </c>
      <c r="C692" s="314">
        <v>1884</v>
      </c>
      <c r="D692" s="313">
        <v>1884</v>
      </c>
      <c r="E692" s="313">
        <v>1445</v>
      </c>
      <c r="F692" s="313">
        <v>-439</v>
      </c>
      <c r="G692" s="313">
        <v>24999.1</v>
      </c>
      <c r="H692" s="313">
        <v>17951.400000000001</v>
      </c>
    </row>
    <row r="693" spans="1:8" x14ac:dyDescent="0.2">
      <c r="A693" s="313">
        <v>1743000742</v>
      </c>
      <c r="B693" s="313" t="s">
        <v>1163</v>
      </c>
      <c r="C693" s="314">
        <v>8000</v>
      </c>
      <c r="D693" s="313">
        <v>8000</v>
      </c>
      <c r="F693" s="313">
        <v>-8000</v>
      </c>
    </row>
    <row r="694" spans="1:8" x14ac:dyDescent="0.2">
      <c r="A694" s="313">
        <v>1743000750</v>
      </c>
      <c r="B694" s="313" t="s">
        <v>714</v>
      </c>
      <c r="C694" s="314">
        <v>186000</v>
      </c>
      <c r="D694" s="313">
        <v>186000</v>
      </c>
      <c r="E694" s="313">
        <v>161643.57</v>
      </c>
      <c r="F694" s="313">
        <v>-24356.43</v>
      </c>
      <c r="G694" s="313">
        <v>166280.46</v>
      </c>
      <c r="H694" s="313">
        <v>163852.85999999999</v>
      </c>
    </row>
    <row r="695" spans="1:8" x14ac:dyDescent="0.2">
      <c r="A695" s="313">
        <v>1743000751</v>
      </c>
      <c r="B695" s="313" t="s">
        <v>141</v>
      </c>
      <c r="G695" s="313">
        <v>101614.5</v>
      </c>
    </row>
    <row r="696" spans="1:8" x14ac:dyDescent="0.2">
      <c r="A696" s="313">
        <v>1743000770</v>
      </c>
      <c r="B696" s="313" t="s">
        <v>740</v>
      </c>
      <c r="C696" s="314">
        <v>3600000</v>
      </c>
      <c r="D696" s="313">
        <v>3600000</v>
      </c>
      <c r="E696" s="313">
        <v>2226562.65</v>
      </c>
      <c r="F696" s="313">
        <v>-1373437.35</v>
      </c>
      <c r="G696" s="313">
        <v>3227466.43</v>
      </c>
      <c r="H696" s="313">
        <v>3132963.14</v>
      </c>
    </row>
    <row r="697" spans="1:8" x14ac:dyDescent="0.2">
      <c r="A697" s="313">
        <v>1743001731</v>
      </c>
      <c r="B697" s="313" t="s">
        <v>742</v>
      </c>
      <c r="C697" s="314">
        <v>25387</v>
      </c>
      <c r="D697" s="313">
        <v>25387</v>
      </c>
      <c r="E697" s="313">
        <v>20306.89</v>
      </c>
      <c r="F697" s="313">
        <v>-5080.1099999999997</v>
      </c>
      <c r="G697" s="313">
        <v>34242.43</v>
      </c>
      <c r="H697" s="313">
        <v>29923.13</v>
      </c>
    </row>
    <row r="698" spans="1:8" x14ac:dyDescent="0.2">
      <c r="A698" s="313">
        <v>1743002731</v>
      </c>
      <c r="B698" s="313" t="s">
        <v>743</v>
      </c>
      <c r="C698" s="314">
        <v>49939</v>
      </c>
      <c r="D698" s="313">
        <v>49939</v>
      </c>
      <c r="E698" s="313">
        <v>53108.14</v>
      </c>
      <c r="F698" s="313">
        <v>3169.14</v>
      </c>
      <c r="G698" s="313">
        <v>48123.1</v>
      </c>
      <c r="H698" s="313">
        <v>36585.4</v>
      </c>
    </row>
    <row r="699" spans="1:8" x14ac:dyDescent="0.2">
      <c r="A699" s="313">
        <v>1743003731</v>
      </c>
      <c r="B699" s="313" t="s">
        <v>744</v>
      </c>
      <c r="G699" s="313">
        <v>8464.24</v>
      </c>
      <c r="H699" s="313">
        <v>30392.31</v>
      </c>
    </row>
    <row r="700" spans="1:8" x14ac:dyDescent="0.2">
      <c r="A700" s="313">
        <v>1743004731</v>
      </c>
      <c r="B700" s="313" t="s">
        <v>745</v>
      </c>
      <c r="C700" s="314">
        <v>1647</v>
      </c>
      <c r="D700" s="313">
        <v>1647</v>
      </c>
      <c r="E700" s="313">
        <v>901</v>
      </c>
      <c r="F700" s="313">
        <v>-746</v>
      </c>
      <c r="G700" s="313">
        <v>2913.52</v>
      </c>
      <c r="H700" s="313">
        <v>1146</v>
      </c>
    </row>
    <row r="701" spans="1:8" x14ac:dyDescent="0.2">
      <c r="A701" s="313">
        <v>1743005731</v>
      </c>
      <c r="B701" s="313" t="s">
        <v>746</v>
      </c>
      <c r="C701" s="314">
        <v>1647</v>
      </c>
      <c r="D701" s="313">
        <v>1647</v>
      </c>
      <c r="E701" s="313">
        <v>806</v>
      </c>
      <c r="F701" s="313">
        <v>-841</v>
      </c>
      <c r="G701" s="313">
        <v>976</v>
      </c>
      <c r="H701" s="313">
        <v>1113</v>
      </c>
    </row>
    <row r="702" spans="1:8" x14ac:dyDescent="0.2">
      <c r="A702" s="313">
        <v>1743006731</v>
      </c>
      <c r="B702" s="313" t="s">
        <v>747</v>
      </c>
      <c r="C702" s="314">
        <v>1647</v>
      </c>
      <c r="D702" s="313">
        <v>1647</v>
      </c>
      <c r="E702" s="313">
        <v>1528</v>
      </c>
      <c r="F702" s="313">
        <v>-119</v>
      </c>
      <c r="G702" s="313">
        <v>909</v>
      </c>
      <c r="H702" s="313">
        <v>1146</v>
      </c>
    </row>
    <row r="703" spans="1:8" x14ac:dyDescent="0.2">
      <c r="A703" s="313">
        <v>1743007530</v>
      </c>
      <c r="B703" s="313" t="s">
        <v>1822</v>
      </c>
      <c r="C703" s="314">
        <v>56166</v>
      </c>
      <c r="D703" s="313">
        <v>56166</v>
      </c>
      <c r="E703" s="313">
        <v>41728.910000000003</v>
      </c>
      <c r="F703" s="313">
        <v>-14437.09</v>
      </c>
      <c r="G703" s="313">
        <v>59697.3</v>
      </c>
      <c r="H703" s="313">
        <v>59007.88</v>
      </c>
    </row>
    <row r="704" spans="1:8" x14ac:dyDescent="0.2">
      <c r="A704" s="313">
        <v>1743008530</v>
      </c>
      <c r="B704" s="313" t="s">
        <v>1510</v>
      </c>
      <c r="H704" s="313">
        <v>6466.06</v>
      </c>
    </row>
    <row r="705" spans="1:8" x14ac:dyDescent="0.2">
      <c r="A705" s="313">
        <v>1743200530</v>
      </c>
      <c r="B705" s="313" t="s">
        <v>118</v>
      </c>
      <c r="C705" s="314">
        <v>44884</v>
      </c>
      <c r="D705" s="313">
        <v>44884</v>
      </c>
      <c r="E705" s="313">
        <v>31705.68</v>
      </c>
      <c r="F705" s="313">
        <v>-13178.32</v>
      </c>
      <c r="G705" s="313">
        <v>42045.88</v>
      </c>
      <c r="H705" s="313">
        <v>43283.89</v>
      </c>
    </row>
    <row r="706" spans="1:8" x14ac:dyDescent="0.2">
      <c r="A706" s="313">
        <v>1744000910</v>
      </c>
      <c r="B706" s="313" t="s">
        <v>738</v>
      </c>
      <c r="G706" s="313">
        <v>85000</v>
      </c>
      <c r="H706" s="313">
        <v>100000</v>
      </c>
    </row>
    <row r="707" spans="1:8" x14ac:dyDescent="0.2">
      <c r="A707" s="313">
        <v>1744400521</v>
      </c>
      <c r="B707" s="313" t="s">
        <v>646</v>
      </c>
      <c r="G707" s="313">
        <v>1000</v>
      </c>
    </row>
    <row r="708" spans="1:8" x14ac:dyDescent="0.2">
      <c r="A708" s="313">
        <v>1744400750</v>
      </c>
      <c r="B708" s="313" t="s">
        <v>749</v>
      </c>
      <c r="G708" s="313">
        <v>3999.08</v>
      </c>
      <c r="H708" s="313">
        <v>4000</v>
      </c>
    </row>
    <row r="709" spans="1:8" x14ac:dyDescent="0.2">
      <c r="A709" s="313">
        <v>1745000810</v>
      </c>
      <c r="B709" s="313" t="s">
        <v>750</v>
      </c>
      <c r="C709" s="314">
        <v>375638</v>
      </c>
      <c r="D709" s="313">
        <v>375638</v>
      </c>
      <c r="E709" s="313">
        <v>375636</v>
      </c>
      <c r="F709" s="313">
        <v>-2</v>
      </c>
      <c r="G709" s="313">
        <v>361212</v>
      </c>
      <c r="H709" s="313">
        <v>354409</v>
      </c>
    </row>
    <row r="710" spans="1:8" x14ac:dyDescent="0.2">
      <c r="A710" s="313">
        <v>1746000430</v>
      </c>
      <c r="B710" s="313" t="s">
        <v>751</v>
      </c>
      <c r="C710" s="314">
        <v>3412422</v>
      </c>
      <c r="D710" s="313">
        <v>3412422</v>
      </c>
      <c r="E710" s="313">
        <v>708505.27</v>
      </c>
      <c r="F710" s="313">
        <v>-2703916.73</v>
      </c>
      <c r="G710" s="313">
        <v>3324216.77</v>
      </c>
      <c r="H710" s="313">
        <v>2673180.7799999998</v>
      </c>
    </row>
    <row r="711" spans="1:8" x14ac:dyDescent="0.2">
      <c r="A711" s="313">
        <v>1746000530</v>
      </c>
      <c r="B711" s="313" t="s">
        <v>1509</v>
      </c>
      <c r="C711" s="314">
        <v>61711</v>
      </c>
      <c r="D711" s="313">
        <v>61711</v>
      </c>
      <c r="E711" s="313">
        <v>48899.5</v>
      </c>
      <c r="F711" s="313">
        <v>-12811.5</v>
      </c>
      <c r="G711" s="313">
        <v>48957.03</v>
      </c>
      <c r="H711" s="313">
        <v>24580.43</v>
      </c>
    </row>
    <row r="712" spans="1:8" x14ac:dyDescent="0.2">
      <c r="A712" s="313">
        <v>1746000720</v>
      </c>
      <c r="B712" s="313" t="s">
        <v>752</v>
      </c>
      <c r="C712" s="314">
        <v>143737</v>
      </c>
      <c r="D712" s="313">
        <v>143737</v>
      </c>
      <c r="E712" s="313">
        <v>103737</v>
      </c>
      <c r="F712" s="313">
        <v>-40000</v>
      </c>
      <c r="G712" s="313">
        <v>86258.7</v>
      </c>
      <c r="H712" s="313">
        <v>103969.34</v>
      </c>
    </row>
    <row r="713" spans="1:8" x14ac:dyDescent="0.2">
      <c r="A713" s="313">
        <v>1746000731</v>
      </c>
      <c r="B713" s="313" t="s">
        <v>753</v>
      </c>
      <c r="C713" s="314">
        <v>1647</v>
      </c>
      <c r="D713" s="313">
        <v>1647</v>
      </c>
      <c r="E713" s="313">
        <v>1066</v>
      </c>
      <c r="F713" s="313">
        <v>-581</v>
      </c>
      <c r="G713" s="313">
        <v>2376</v>
      </c>
      <c r="H713" s="313">
        <v>1146</v>
      </c>
    </row>
    <row r="714" spans="1:8" x14ac:dyDescent="0.2">
      <c r="A714" s="313">
        <v>1746000740</v>
      </c>
      <c r="B714" s="313" t="s">
        <v>755</v>
      </c>
      <c r="C714" s="314">
        <v>45000</v>
      </c>
      <c r="D714" s="313">
        <v>45000</v>
      </c>
      <c r="E714" s="313">
        <v>44816.45</v>
      </c>
      <c r="F714" s="313">
        <v>-183.55</v>
      </c>
      <c r="G714" s="313">
        <v>39720</v>
      </c>
      <c r="H714" s="313">
        <v>44585</v>
      </c>
    </row>
    <row r="715" spans="1:8" x14ac:dyDescent="0.2">
      <c r="A715" s="313">
        <v>1746000750</v>
      </c>
      <c r="B715" s="313" t="s">
        <v>756</v>
      </c>
      <c r="C715" s="314">
        <v>2349000</v>
      </c>
      <c r="D715" s="313">
        <v>2349000</v>
      </c>
      <c r="E715" s="313">
        <v>1798286.23</v>
      </c>
      <c r="F715" s="313">
        <v>-550713.77</v>
      </c>
      <c r="G715" s="313">
        <v>3434910.08</v>
      </c>
      <c r="H715" s="313">
        <v>3044809.02</v>
      </c>
    </row>
    <row r="716" spans="1:8" x14ac:dyDescent="0.2">
      <c r="A716" s="313">
        <v>1746000751</v>
      </c>
      <c r="B716" s="313" t="s">
        <v>757</v>
      </c>
      <c r="G716" s="313">
        <v>6318</v>
      </c>
      <c r="H716" s="313">
        <v>45571.5</v>
      </c>
    </row>
    <row r="717" spans="1:8" x14ac:dyDescent="0.2">
      <c r="A717" s="313">
        <v>1746000752</v>
      </c>
      <c r="B717" s="313" t="s">
        <v>758</v>
      </c>
      <c r="C717" s="314">
        <v>658246</v>
      </c>
      <c r="D717" s="313">
        <v>658246</v>
      </c>
      <c r="E717" s="313">
        <v>215363</v>
      </c>
      <c r="F717" s="313">
        <v>-442883</v>
      </c>
      <c r="G717" s="313">
        <v>813016</v>
      </c>
      <c r="H717" s="313">
        <v>982290</v>
      </c>
    </row>
    <row r="718" spans="1:8" x14ac:dyDescent="0.2">
      <c r="A718" s="313">
        <v>1746000753</v>
      </c>
      <c r="B718" s="313" t="s">
        <v>144</v>
      </c>
      <c r="H718" s="313">
        <v>49779.66</v>
      </c>
    </row>
    <row r="719" spans="1:8" x14ac:dyDescent="0.2">
      <c r="A719" s="313">
        <v>1746000754</v>
      </c>
      <c r="B719" s="313" t="s">
        <v>145</v>
      </c>
      <c r="C719" s="314">
        <v>80000</v>
      </c>
      <c r="D719" s="313">
        <v>80000</v>
      </c>
      <c r="F719" s="313">
        <v>-80000</v>
      </c>
    </row>
    <row r="720" spans="1:8" x14ac:dyDescent="0.2">
      <c r="A720" s="313">
        <v>1746000780</v>
      </c>
      <c r="B720" s="313" t="s">
        <v>760</v>
      </c>
      <c r="C720" s="314">
        <v>2040</v>
      </c>
      <c r="D720" s="313">
        <v>2040</v>
      </c>
      <c r="E720" s="313">
        <v>1690.83</v>
      </c>
      <c r="F720" s="313">
        <v>-349.17</v>
      </c>
      <c r="G720" s="313">
        <v>7069.29</v>
      </c>
      <c r="H720" s="313">
        <v>17780.580000000002</v>
      </c>
    </row>
    <row r="721" spans="1:8" x14ac:dyDescent="0.2">
      <c r="A721" s="313">
        <v>1746000931</v>
      </c>
      <c r="B721" s="313" t="s">
        <v>761</v>
      </c>
      <c r="C721" s="314">
        <v>35000</v>
      </c>
      <c r="D721" s="313">
        <v>35000</v>
      </c>
      <c r="E721" s="313">
        <v>34946</v>
      </c>
      <c r="F721" s="313">
        <v>-54</v>
      </c>
      <c r="G721" s="313">
        <v>28562.35</v>
      </c>
      <c r="H721" s="313">
        <v>34932</v>
      </c>
    </row>
    <row r="722" spans="1:8" x14ac:dyDescent="0.2">
      <c r="A722" s="313">
        <v>1746001530</v>
      </c>
      <c r="B722" s="313" t="s">
        <v>1824</v>
      </c>
      <c r="C722" s="314">
        <v>46594</v>
      </c>
      <c r="D722" s="313">
        <v>46594</v>
      </c>
      <c r="E722" s="313">
        <v>35373.919999999998</v>
      </c>
      <c r="F722" s="313">
        <v>-11220.08</v>
      </c>
    </row>
    <row r="723" spans="1:8" x14ac:dyDescent="0.2">
      <c r="A723" s="313">
        <v>1746001731</v>
      </c>
      <c r="B723" s="313" t="s">
        <v>1612</v>
      </c>
      <c r="G723" s="313">
        <v>6229</v>
      </c>
    </row>
    <row r="724" spans="1:8" x14ac:dyDescent="0.2">
      <c r="A724" s="313">
        <v>1746100511</v>
      </c>
      <c r="B724" s="313" t="s">
        <v>1934</v>
      </c>
      <c r="C724" s="314">
        <v>3000</v>
      </c>
      <c r="D724" s="313">
        <v>3000</v>
      </c>
      <c r="E724" s="313">
        <v>1735.65</v>
      </c>
      <c r="F724" s="313">
        <v>-1264.3499999999999</v>
      </c>
    </row>
    <row r="725" spans="1:8" x14ac:dyDescent="0.2">
      <c r="A725" s="313">
        <v>1746100521</v>
      </c>
      <c r="B725" s="313" t="s">
        <v>1613</v>
      </c>
      <c r="C725" s="314">
        <v>39500</v>
      </c>
      <c r="D725" s="313">
        <v>39500</v>
      </c>
      <c r="E725" s="313">
        <v>28475.31</v>
      </c>
      <c r="F725" s="313">
        <v>-11024.69</v>
      </c>
      <c r="G725" s="313">
        <v>6150</v>
      </c>
    </row>
    <row r="726" spans="1:8" x14ac:dyDescent="0.2">
      <c r="A726" s="313">
        <v>1746100560</v>
      </c>
      <c r="B726" s="313" t="s">
        <v>762</v>
      </c>
      <c r="C726" s="314">
        <v>1500</v>
      </c>
      <c r="D726" s="313">
        <v>1500</v>
      </c>
      <c r="F726" s="313">
        <v>-1500</v>
      </c>
      <c r="G726" s="313">
        <v>616.38</v>
      </c>
    </row>
    <row r="727" spans="1:8" x14ac:dyDescent="0.2">
      <c r="A727" s="313">
        <v>1746100581</v>
      </c>
      <c r="B727" s="313" t="s">
        <v>1935</v>
      </c>
      <c r="C727" s="314">
        <v>3200</v>
      </c>
      <c r="D727" s="313">
        <v>3200</v>
      </c>
      <c r="E727" s="313">
        <v>2401.75</v>
      </c>
      <c r="F727" s="313">
        <v>-798.25</v>
      </c>
    </row>
    <row r="728" spans="1:8" x14ac:dyDescent="0.2">
      <c r="A728" s="313">
        <v>1746100720</v>
      </c>
      <c r="B728" s="313" t="s">
        <v>763</v>
      </c>
      <c r="C728" s="314">
        <v>247640</v>
      </c>
      <c r="D728" s="313">
        <v>247640</v>
      </c>
      <c r="E728" s="313">
        <v>185053.8</v>
      </c>
      <c r="F728" s="313">
        <v>-62586.2</v>
      </c>
      <c r="G728" s="313">
        <v>193683.49</v>
      </c>
      <c r="H728" s="313">
        <v>246573.45</v>
      </c>
    </row>
    <row r="729" spans="1:8" x14ac:dyDescent="0.2">
      <c r="A729" s="313">
        <v>1746100731</v>
      </c>
      <c r="B729" s="313" t="s">
        <v>764</v>
      </c>
      <c r="C729" s="314">
        <v>43468</v>
      </c>
      <c r="D729" s="313">
        <v>43468</v>
      </c>
      <c r="E729" s="313">
        <v>41207.17</v>
      </c>
      <c r="F729" s="313">
        <v>-2260.83</v>
      </c>
      <c r="G729" s="313">
        <v>45922.3</v>
      </c>
      <c r="H729" s="313">
        <v>52176.06</v>
      </c>
    </row>
    <row r="730" spans="1:8" x14ac:dyDescent="0.2">
      <c r="A730" s="313">
        <v>1746100732</v>
      </c>
      <c r="B730" s="313" t="s">
        <v>1508</v>
      </c>
      <c r="H730" s="313">
        <v>1575</v>
      </c>
    </row>
    <row r="731" spans="1:8" x14ac:dyDescent="0.2">
      <c r="A731" s="313">
        <v>1746100733</v>
      </c>
      <c r="B731" s="313" t="s">
        <v>1507</v>
      </c>
      <c r="H731" s="313">
        <v>3150</v>
      </c>
    </row>
    <row r="732" spans="1:8" x14ac:dyDescent="0.2">
      <c r="A732" s="313">
        <v>1746100740</v>
      </c>
      <c r="B732" s="313" t="s">
        <v>767</v>
      </c>
      <c r="C732" s="314">
        <v>22240</v>
      </c>
      <c r="D732" s="313">
        <v>22240</v>
      </c>
      <c r="E732" s="313">
        <v>21271.37</v>
      </c>
      <c r="F732" s="313">
        <v>-968.63</v>
      </c>
      <c r="G732" s="313">
        <v>27528.560000000001</v>
      </c>
      <c r="H732" s="313">
        <v>27641.77</v>
      </c>
    </row>
    <row r="733" spans="1:8" x14ac:dyDescent="0.2">
      <c r="A733" s="313">
        <v>1746100750</v>
      </c>
      <c r="B733" s="313" t="s">
        <v>1152</v>
      </c>
      <c r="C733" s="314">
        <v>270000</v>
      </c>
      <c r="D733" s="313">
        <v>270000</v>
      </c>
      <c r="E733" s="313">
        <v>158908.88</v>
      </c>
      <c r="F733" s="313">
        <v>-111091.12</v>
      </c>
      <c r="G733" s="313">
        <v>246200.81</v>
      </c>
      <c r="H733" s="313">
        <v>412858.62</v>
      </c>
    </row>
    <row r="734" spans="1:8" x14ac:dyDescent="0.2">
      <c r="A734" s="313">
        <v>1746100751</v>
      </c>
      <c r="B734" s="313" t="s">
        <v>1614</v>
      </c>
      <c r="C734" s="314">
        <v>105000</v>
      </c>
      <c r="D734" s="313">
        <v>105000</v>
      </c>
      <c r="E734" s="313">
        <v>51033</v>
      </c>
      <c r="F734" s="313">
        <v>-53967</v>
      </c>
    </row>
    <row r="735" spans="1:8" x14ac:dyDescent="0.2">
      <c r="A735" s="313">
        <v>1746100752</v>
      </c>
      <c r="B735" s="313" t="s">
        <v>1664</v>
      </c>
      <c r="C735" s="314">
        <v>73800</v>
      </c>
      <c r="D735" s="313">
        <v>73800</v>
      </c>
      <c r="E735" s="313">
        <v>55604.3</v>
      </c>
      <c r="F735" s="313">
        <v>-18195.7</v>
      </c>
    </row>
    <row r="736" spans="1:8" x14ac:dyDescent="0.2">
      <c r="A736" s="313">
        <v>1746100780</v>
      </c>
      <c r="B736" s="313" t="s">
        <v>768</v>
      </c>
      <c r="C736" s="314">
        <v>160308</v>
      </c>
      <c r="D736" s="313">
        <v>160308</v>
      </c>
      <c r="E736" s="313">
        <v>106997.68</v>
      </c>
      <c r="F736" s="313">
        <v>-53310.32</v>
      </c>
      <c r="G736" s="313">
        <v>25738.58</v>
      </c>
      <c r="H736" s="313">
        <v>4912.33</v>
      </c>
    </row>
    <row r="737" spans="1:8" x14ac:dyDescent="0.2">
      <c r="A737" s="313">
        <v>1746101731</v>
      </c>
      <c r="B737" s="313" t="s">
        <v>1506</v>
      </c>
      <c r="C737" s="314">
        <v>33421</v>
      </c>
      <c r="D737" s="313">
        <v>33421</v>
      </c>
      <c r="E737" s="313">
        <v>27839.9</v>
      </c>
      <c r="F737" s="313">
        <v>-5581.1</v>
      </c>
      <c r="G737" s="313">
        <v>26943.07</v>
      </c>
      <c r="H737" s="313">
        <v>22315.65</v>
      </c>
    </row>
    <row r="738" spans="1:8" x14ac:dyDescent="0.2">
      <c r="A738" s="313">
        <v>1746102731</v>
      </c>
      <c r="B738" s="313" t="s">
        <v>1505</v>
      </c>
      <c r="C738" s="314">
        <v>38474</v>
      </c>
      <c r="D738" s="313">
        <v>38474</v>
      </c>
      <c r="E738" s="313">
        <v>33324.61</v>
      </c>
      <c r="F738" s="313">
        <v>-5149.3900000000003</v>
      </c>
      <c r="G738" s="313">
        <v>24293.59</v>
      </c>
      <c r="H738" s="313">
        <v>19265.66</v>
      </c>
    </row>
    <row r="739" spans="1:8" x14ac:dyDescent="0.2">
      <c r="A739" s="313">
        <v>1746103731</v>
      </c>
      <c r="B739" s="313" t="s">
        <v>1504</v>
      </c>
      <c r="G739" s="313">
        <v>395.53</v>
      </c>
    </row>
    <row r="740" spans="1:8" x14ac:dyDescent="0.2">
      <c r="A740" s="313">
        <v>1746104731</v>
      </c>
      <c r="B740" s="313" t="s">
        <v>1615</v>
      </c>
      <c r="C740" s="314">
        <v>24008</v>
      </c>
      <c r="D740" s="313">
        <v>24008</v>
      </c>
      <c r="E740" s="313">
        <v>22186.26</v>
      </c>
      <c r="F740" s="313">
        <v>-1821.74</v>
      </c>
      <c r="G740" s="313">
        <v>6353.5</v>
      </c>
      <c r="H740" s="313">
        <v>2251</v>
      </c>
    </row>
    <row r="741" spans="1:8" x14ac:dyDescent="0.2">
      <c r="A741" s="313">
        <v>1746200530</v>
      </c>
      <c r="B741" s="313" t="s">
        <v>1833</v>
      </c>
      <c r="C741" s="314">
        <v>45000</v>
      </c>
      <c r="D741" s="313">
        <v>45000</v>
      </c>
      <c r="E741" s="313">
        <v>5723.86</v>
      </c>
      <c r="F741" s="313">
        <v>-39276.14</v>
      </c>
    </row>
    <row r="742" spans="1:8" x14ac:dyDescent="0.2">
      <c r="A742" s="313">
        <v>1746300731</v>
      </c>
      <c r="B742" s="313" t="s">
        <v>770</v>
      </c>
      <c r="C742" s="314">
        <v>54317</v>
      </c>
      <c r="D742" s="313">
        <v>54317</v>
      </c>
      <c r="E742" s="313">
        <v>46357.9</v>
      </c>
      <c r="F742" s="313">
        <v>-7959.1</v>
      </c>
      <c r="G742" s="313">
        <v>35818.160000000003</v>
      </c>
      <c r="H742" s="313">
        <v>39498.28</v>
      </c>
    </row>
    <row r="743" spans="1:8" x14ac:dyDescent="0.2">
      <c r="A743" s="313">
        <v>1746400731</v>
      </c>
      <c r="B743" s="313" t="s">
        <v>1503</v>
      </c>
      <c r="C743" s="314">
        <v>36656</v>
      </c>
      <c r="D743" s="313">
        <v>36656</v>
      </c>
      <c r="E743" s="313">
        <v>29762.69</v>
      </c>
      <c r="F743" s="313">
        <v>-6893.31</v>
      </c>
      <c r="G743" s="313">
        <v>35572.839999999997</v>
      </c>
      <c r="H743" s="313">
        <v>29701.34</v>
      </c>
    </row>
    <row r="744" spans="1:8" x14ac:dyDescent="0.2">
      <c r="A744" s="313">
        <v>1747000731</v>
      </c>
      <c r="B744" s="313" t="s">
        <v>1616</v>
      </c>
      <c r="G744" s="313">
        <v>992</v>
      </c>
      <c r="H744" s="313">
        <v>6617.72</v>
      </c>
    </row>
    <row r="745" spans="1:8" x14ac:dyDescent="0.2">
      <c r="A745" s="313">
        <v>1747200530</v>
      </c>
      <c r="B745" s="313" t="s">
        <v>1834</v>
      </c>
      <c r="C745" s="314">
        <v>50000</v>
      </c>
      <c r="D745" s="313">
        <v>50000</v>
      </c>
      <c r="E745" s="313">
        <v>38187.93</v>
      </c>
      <c r="F745" s="313">
        <v>-11812.07</v>
      </c>
    </row>
    <row r="746" spans="1:8" x14ac:dyDescent="0.2">
      <c r="A746" s="313">
        <v>1747200780</v>
      </c>
      <c r="B746" s="313" t="s">
        <v>773</v>
      </c>
      <c r="C746" s="314">
        <v>847150</v>
      </c>
      <c r="D746" s="313">
        <v>847150</v>
      </c>
      <c r="E746" s="313">
        <v>474163.97</v>
      </c>
      <c r="F746" s="313">
        <v>-372986.03</v>
      </c>
      <c r="G746" s="313">
        <v>1626980.67</v>
      </c>
      <c r="H746" s="313">
        <v>1174859.27</v>
      </c>
    </row>
    <row r="747" spans="1:8" x14ac:dyDescent="0.2">
      <c r="A747" s="313">
        <v>1747201731</v>
      </c>
      <c r="B747" s="313" t="s">
        <v>1696</v>
      </c>
      <c r="C747" s="314">
        <v>17295</v>
      </c>
      <c r="D747" s="313">
        <v>15853.74</v>
      </c>
      <c r="E747" s="313">
        <v>10963.81</v>
      </c>
      <c r="F747" s="313">
        <v>-4889.93</v>
      </c>
      <c r="G747" s="313">
        <v>1861</v>
      </c>
    </row>
    <row r="748" spans="1:8" x14ac:dyDescent="0.2">
      <c r="A748" s="313">
        <v>1747202731</v>
      </c>
      <c r="B748" s="313" t="s">
        <v>771</v>
      </c>
      <c r="C748" s="314">
        <v>19173</v>
      </c>
      <c r="D748" s="313">
        <v>19173</v>
      </c>
      <c r="E748" s="313">
        <v>14391.05</v>
      </c>
      <c r="F748" s="313">
        <v>-4781.95</v>
      </c>
    </row>
    <row r="749" spans="1:8" x14ac:dyDescent="0.2">
      <c r="A749" s="313">
        <v>1747203731</v>
      </c>
      <c r="B749" s="313" t="s">
        <v>1835</v>
      </c>
      <c r="C749" s="314">
        <v>23073</v>
      </c>
      <c r="D749" s="313">
        <v>23073</v>
      </c>
      <c r="E749" s="313">
        <v>15531.59</v>
      </c>
      <c r="F749" s="313">
        <v>-7541.41</v>
      </c>
    </row>
    <row r="750" spans="1:8" x14ac:dyDescent="0.2">
      <c r="A750" s="313">
        <v>1747220530</v>
      </c>
      <c r="B750" s="313" t="s">
        <v>1501</v>
      </c>
      <c r="C750" s="314">
        <v>0</v>
      </c>
      <c r="D750" s="313">
        <v>0</v>
      </c>
      <c r="G750" s="313">
        <v>6237.44</v>
      </c>
      <c r="H750" s="313">
        <v>22680</v>
      </c>
    </row>
    <row r="751" spans="1:8" x14ac:dyDescent="0.2">
      <c r="A751" s="313">
        <v>1747300731</v>
      </c>
      <c r="B751" s="313" t="s">
        <v>1836</v>
      </c>
      <c r="C751" s="314">
        <v>5624</v>
      </c>
      <c r="D751" s="313">
        <v>5624</v>
      </c>
      <c r="E751" s="313">
        <v>2837.6</v>
      </c>
      <c r="F751" s="313">
        <v>-2786.4</v>
      </c>
    </row>
    <row r="752" spans="1:8" x14ac:dyDescent="0.2">
      <c r="A752" s="313">
        <v>1747400731</v>
      </c>
      <c r="B752" s="313" t="s">
        <v>1837</v>
      </c>
      <c r="C752" s="314">
        <v>200</v>
      </c>
      <c r="D752" s="313">
        <v>200</v>
      </c>
      <c r="E752" s="313">
        <v>464</v>
      </c>
      <c r="F752" s="313">
        <v>264</v>
      </c>
    </row>
    <row r="753" spans="1:8" x14ac:dyDescent="0.2">
      <c r="A753" s="313">
        <v>1749000731</v>
      </c>
      <c r="B753" s="313" t="s">
        <v>1500</v>
      </c>
      <c r="H753" s="313">
        <v>20198.330000000002</v>
      </c>
    </row>
    <row r="754" spans="1:8" x14ac:dyDescent="0.2">
      <c r="A754" s="313">
        <v>1749000750</v>
      </c>
      <c r="B754" s="313" t="s">
        <v>714</v>
      </c>
      <c r="C754" s="314">
        <v>455242</v>
      </c>
      <c r="D754" s="313">
        <v>455242</v>
      </c>
      <c r="E754" s="313">
        <v>250113.38</v>
      </c>
      <c r="F754" s="313">
        <v>-205128.62</v>
      </c>
      <c r="G754" s="313">
        <v>7000</v>
      </c>
      <c r="H754" s="313">
        <v>20596.12</v>
      </c>
    </row>
    <row r="755" spans="1:8" x14ac:dyDescent="0.2">
      <c r="A755" s="313">
        <v>1751000530</v>
      </c>
      <c r="B755" s="313" t="s">
        <v>1499</v>
      </c>
      <c r="C755" s="314">
        <v>97108</v>
      </c>
      <c r="D755" s="313">
        <v>97108</v>
      </c>
      <c r="E755" s="313">
        <v>76577.8</v>
      </c>
      <c r="F755" s="313">
        <v>-20530.2</v>
      </c>
      <c r="G755" s="313">
        <v>76800.759999999995</v>
      </c>
      <c r="H755" s="313">
        <v>78131.960000000006</v>
      </c>
    </row>
    <row r="756" spans="1:8" x14ac:dyDescent="0.2">
      <c r="A756" s="313">
        <v>1751000750</v>
      </c>
      <c r="B756" s="313" t="s">
        <v>1578</v>
      </c>
      <c r="C756" s="314">
        <v>729841</v>
      </c>
      <c r="D756" s="313">
        <v>729841</v>
      </c>
      <c r="E756" s="313">
        <v>603764.89</v>
      </c>
      <c r="F756" s="313">
        <v>-126076.11</v>
      </c>
      <c r="G756" s="313">
        <v>342339.36</v>
      </c>
    </row>
    <row r="757" spans="1:8" x14ac:dyDescent="0.2">
      <c r="A757" s="313">
        <v>1751000780</v>
      </c>
      <c r="B757" s="313" t="s">
        <v>776</v>
      </c>
      <c r="C757" s="314">
        <v>780000</v>
      </c>
      <c r="D757" s="313">
        <v>780000</v>
      </c>
      <c r="E757" s="313">
        <v>774504.53</v>
      </c>
      <c r="F757" s="313">
        <v>-5495.47</v>
      </c>
      <c r="G757" s="313">
        <v>855781.5</v>
      </c>
      <c r="H757" s="313">
        <v>774944.22</v>
      </c>
    </row>
    <row r="758" spans="1:8" x14ac:dyDescent="0.2">
      <c r="A758" s="313">
        <v>1751001731</v>
      </c>
      <c r="B758" s="313" t="s">
        <v>1498</v>
      </c>
      <c r="E758" s="313">
        <v>589.28</v>
      </c>
      <c r="F758" s="313">
        <v>589.28</v>
      </c>
      <c r="G758" s="313">
        <v>18829.669999999998</v>
      </c>
      <c r="H758" s="313">
        <v>437.23</v>
      </c>
    </row>
    <row r="759" spans="1:8" x14ac:dyDescent="0.2">
      <c r="A759" s="313">
        <v>1751001780</v>
      </c>
      <c r="B759" s="313" t="s">
        <v>778</v>
      </c>
      <c r="C759" s="314">
        <v>190000</v>
      </c>
      <c r="D759" s="313">
        <v>190000</v>
      </c>
      <c r="E759" s="313">
        <v>179158.21</v>
      </c>
      <c r="F759" s="313">
        <v>-10841.79</v>
      </c>
      <c r="G759" s="313">
        <v>241631.21</v>
      </c>
      <c r="H759" s="313">
        <v>220140.91</v>
      </c>
    </row>
    <row r="760" spans="1:8" x14ac:dyDescent="0.2">
      <c r="A760" s="313">
        <v>1751002731</v>
      </c>
      <c r="B760" s="313" t="s">
        <v>779</v>
      </c>
      <c r="C760" s="314">
        <v>1173</v>
      </c>
      <c r="D760" s="313">
        <v>1173</v>
      </c>
      <c r="E760" s="313">
        <v>932</v>
      </c>
      <c r="F760" s="313">
        <v>-241</v>
      </c>
      <c r="G760" s="313">
        <v>374</v>
      </c>
      <c r="H760" s="313">
        <v>2798</v>
      </c>
    </row>
    <row r="761" spans="1:8" x14ac:dyDescent="0.2">
      <c r="A761" s="313">
        <v>1751002780</v>
      </c>
      <c r="B761" s="313" t="s">
        <v>780</v>
      </c>
      <c r="C761" s="314">
        <v>490000</v>
      </c>
      <c r="D761" s="313">
        <v>490000</v>
      </c>
      <c r="E761" s="313">
        <v>469711.07</v>
      </c>
      <c r="F761" s="313">
        <v>-20288.93</v>
      </c>
      <c r="G761" s="313">
        <v>617634.97</v>
      </c>
      <c r="H761" s="313">
        <v>892718.51</v>
      </c>
    </row>
    <row r="762" spans="1:8" x14ac:dyDescent="0.2">
      <c r="A762" s="313">
        <v>1751003731</v>
      </c>
      <c r="B762" s="313" t="s">
        <v>781</v>
      </c>
      <c r="C762" s="314">
        <v>1647</v>
      </c>
      <c r="D762" s="313">
        <v>1647</v>
      </c>
      <c r="E762" s="313">
        <v>667</v>
      </c>
      <c r="F762" s="313">
        <v>-980</v>
      </c>
      <c r="G762" s="313">
        <v>943</v>
      </c>
      <c r="H762" s="313">
        <v>2042</v>
      </c>
    </row>
    <row r="763" spans="1:8" x14ac:dyDescent="0.2">
      <c r="A763" s="313">
        <v>1751003780</v>
      </c>
      <c r="B763" s="313" t="s">
        <v>147</v>
      </c>
      <c r="C763" s="314">
        <v>119993</v>
      </c>
      <c r="D763" s="313">
        <v>119993</v>
      </c>
      <c r="E763" s="313">
        <v>119451.95</v>
      </c>
      <c r="F763" s="313">
        <v>-541.04999999999995</v>
      </c>
      <c r="G763" s="313">
        <v>32436.080000000002</v>
      </c>
      <c r="H763" s="313">
        <v>70002.509999999995</v>
      </c>
    </row>
    <row r="764" spans="1:8" x14ac:dyDescent="0.2">
      <c r="A764" s="313">
        <v>1751004731</v>
      </c>
      <c r="B764" s="313" t="s">
        <v>1838</v>
      </c>
      <c r="C764" s="314">
        <v>10041</v>
      </c>
      <c r="D764" s="313">
        <v>10041</v>
      </c>
      <c r="E764" s="313">
        <v>8309.57</v>
      </c>
      <c r="F764" s="313">
        <v>-1731.43</v>
      </c>
      <c r="G764" s="313">
        <v>7544.42</v>
      </c>
      <c r="H764" s="313">
        <v>11420.04</v>
      </c>
    </row>
    <row r="765" spans="1:8" x14ac:dyDescent="0.2">
      <c r="A765" s="313">
        <v>1751150811</v>
      </c>
      <c r="B765" s="313" t="s">
        <v>78</v>
      </c>
      <c r="C765" s="314">
        <v>250000</v>
      </c>
      <c r="D765" s="313">
        <v>250000</v>
      </c>
      <c r="E765" s="313">
        <v>200000</v>
      </c>
      <c r="F765" s="313">
        <v>-50000</v>
      </c>
      <c r="G765" s="313">
        <v>250000</v>
      </c>
      <c r="H765" s="313">
        <v>250000</v>
      </c>
    </row>
    <row r="766" spans="1:8" x14ac:dyDescent="0.2">
      <c r="A766" s="313">
        <v>1751150812</v>
      </c>
      <c r="B766" s="313" t="s">
        <v>120</v>
      </c>
      <c r="C766" s="314">
        <v>110000</v>
      </c>
      <c r="D766" s="313">
        <v>110000</v>
      </c>
      <c r="F766" s="313">
        <v>-110000</v>
      </c>
      <c r="G766" s="313">
        <v>110000</v>
      </c>
      <c r="H766" s="313">
        <v>110000</v>
      </c>
    </row>
    <row r="767" spans="1:8" x14ac:dyDescent="0.2">
      <c r="A767" s="313">
        <v>1751160780</v>
      </c>
      <c r="B767" s="313" t="s">
        <v>1333</v>
      </c>
      <c r="C767" s="314">
        <v>250000</v>
      </c>
      <c r="D767" s="313">
        <v>250000</v>
      </c>
      <c r="E767" s="313">
        <v>220225.94</v>
      </c>
      <c r="F767" s="313">
        <v>-29774.06</v>
      </c>
      <c r="G767" s="313">
        <v>250389.15</v>
      </c>
      <c r="H767" s="313">
        <v>149890</v>
      </c>
    </row>
    <row r="768" spans="1:8" x14ac:dyDescent="0.2">
      <c r="A768" s="313">
        <v>1751160781</v>
      </c>
      <c r="B768" s="313" t="s">
        <v>1647</v>
      </c>
      <c r="C768" s="314">
        <v>110000</v>
      </c>
      <c r="D768" s="313">
        <v>110000</v>
      </c>
      <c r="E768" s="313">
        <v>102579.75</v>
      </c>
      <c r="F768" s="313">
        <v>-7420.25</v>
      </c>
      <c r="G768" s="313">
        <v>145347.54</v>
      </c>
    </row>
    <row r="769" spans="1:8" x14ac:dyDescent="0.2">
      <c r="A769" s="313">
        <v>1752001731</v>
      </c>
      <c r="B769" s="313" t="s">
        <v>148</v>
      </c>
      <c r="C769" s="314">
        <v>0</v>
      </c>
      <c r="D769" s="313">
        <v>0</v>
      </c>
      <c r="G769" s="313">
        <v>602</v>
      </c>
    </row>
    <row r="770" spans="1:8" x14ac:dyDescent="0.2">
      <c r="A770" s="313">
        <v>1752100810</v>
      </c>
      <c r="B770" s="313" t="s">
        <v>783</v>
      </c>
      <c r="C770" s="314">
        <v>80000</v>
      </c>
      <c r="D770" s="313">
        <v>80000</v>
      </c>
      <c r="E770" s="313">
        <v>61832</v>
      </c>
      <c r="F770" s="313">
        <v>-18168</v>
      </c>
      <c r="G770" s="313">
        <v>102105</v>
      </c>
      <c r="H770" s="313">
        <v>81583</v>
      </c>
    </row>
    <row r="771" spans="1:8" x14ac:dyDescent="0.2">
      <c r="A771" s="313">
        <v>1760000910</v>
      </c>
      <c r="B771" s="313" t="s">
        <v>704</v>
      </c>
      <c r="C771" s="314">
        <v>250000</v>
      </c>
      <c r="D771" s="313">
        <v>250000</v>
      </c>
      <c r="E771" s="313">
        <v>250000</v>
      </c>
    </row>
    <row r="772" spans="1:8" x14ac:dyDescent="0.2">
      <c r="A772" s="313">
        <v>1761000420</v>
      </c>
      <c r="B772" s="313" t="s">
        <v>784</v>
      </c>
      <c r="C772" s="314">
        <v>14192</v>
      </c>
      <c r="D772" s="313">
        <v>14192</v>
      </c>
      <c r="E772" s="313">
        <v>13399.8</v>
      </c>
      <c r="F772" s="313">
        <v>-792.2</v>
      </c>
      <c r="G772" s="313">
        <v>15501.04</v>
      </c>
      <c r="H772" s="313">
        <v>24097.67</v>
      </c>
    </row>
    <row r="773" spans="1:8" x14ac:dyDescent="0.2">
      <c r="A773" s="313">
        <v>1761000470</v>
      </c>
      <c r="B773" s="313" t="s">
        <v>785</v>
      </c>
      <c r="C773" s="314">
        <v>1372</v>
      </c>
      <c r="D773" s="313">
        <v>1372</v>
      </c>
      <c r="E773" s="313">
        <v>691.5</v>
      </c>
      <c r="F773" s="313">
        <v>-680.5</v>
      </c>
      <c r="G773" s="313">
        <v>2006.51</v>
      </c>
      <c r="H773" s="313">
        <v>2555.23</v>
      </c>
    </row>
    <row r="774" spans="1:8" x14ac:dyDescent="0.2">
      <c r="A774" s="313">
        <v>1761000511</v>
      </c>
      <c r="B774" s="313" t="s">
        <v>1840</v>
      </c>
      <c r="C774" s="314">
        <v>2439.5700000000002</v>
      </c>
      <c r="D774" s="313">
        <v>2439.5700000000002</v>
      </c>
      <c r="E774" s="313">
        <v>1816.7</v>
      </c>
      <c r="F774" s="313">
        <v>-622.87</v>
      </c>
    </row>
    <row r="775" spans="1:8" x14ac:dyDescent="0.2">
      <c r="A775" s="313">
        <v>1761000540</v>
      </c>
      <c r="B775" s="313" t="s">
        <v>786</v>
      </c>
      <c r="C775" s="314">
        <v>36156</v>
      </c>
      <c r="D775" s="313">
        <v>36156</v>
      </c>
      <c r="E775" s="313">
        <v>22323.86</v>
      </c>
      <c r="F775" s="313">
        <v>-13832.14</v>
      </c>
      <c r="G775" s="313">
        <v>27979.31</v>
      </c>
      <c r="H775" s="313">
        <v>26510.61</v>
      </c>
    </row>
    <row r="776" spans="1:8" x14ac:dyDescent="0.2">
      <c r="A776" s="313">
        <v>1761000560</v>
      </c>
      <c r="B776" s="313" t="s">
        <v>1841</v>
      </c>
      <c r="C776" s="314">
        <v>1000</v>
      </c>
      <c r="D776" s="313">
        <v>1000</v>
      </c>
      <c r="F776" s="313">
        <v>-1000</v>
      </c>
    </row>
    <row r="777" spans="1:8" x14ac:dyDescent="0.2">
      <c r="A777" s="313">
        <v>1761000570</v>
      </c>
      <c r="B777" s="313" t="s">
        <v>1842</v>
      </c>
      <c r="C777" s="314">
        <v>2808</v>
      </c>
      <c r="D777" s="313">
        <v>2808</v>
      </c>
      <c r="E777" s="313">
        <v>1916.08</v>
      </c>
      <c r="F777" s="313">
        <v>-891.92</v>
      </c>
    </row>
    <row r="778" spans="1:8" x14ac:dyDescent="0.2">
      <c r="A778" s="313">
        <v>1761000581</v>
      </c>
      <c r="B778" s="313" t="s">
        <v>1843</v>
      </c>
      <c r="C778" s="314">
        <v>1128</v>
      </c>
      <c r="D778" s="313">
        <v>1128</v>
      </c>
      <c r="E778" s="313">
        <v>884.1</v>
      </c>
      <c r="F778" s="313">
        <v>-243.9</v>
      </c>
    </row>
    <row r="779" spans="1:8" x14ac:dyDescent="0.2">
      <c r="A779" s="313">
        <v>1761000720</v>
      </c>
      <c r="B779" s="313" t="s">
        <v>2062</v>
      </c>
      <c r="E779" s="313">
        <v>192.6</v>
      </c>
      <c r="F779" s="313">
        <v>192.6</v>
      </c>
    </row>
    <row r="780" spans="1:8" x14ac:dyDescent="0.2">
      <c r="A780" s="313">
        <v>1761000731</v>
      </c>
      <c r="B780" s="313" t="s">
        <v>121</v>
      </c>
      <c r="H780" s="313">
        <v>2899</v>
      </c>
    </row>
    <row r="781" spans="1:8" x14ac:dyDescent="0.2">
      <c r="A781" s="313">
        <v>1761000930</v>
      </c>
      <c r="B781" s="313" t="s">
        <v>788</v>
      </c>
      <c r="C781" s="314">
        <v>560.42999999999995</v>
      </c>
      <c r="D781" s="313">
        <v>560.42999999999995</v>
      </c>
      <c r="E781" s="313">
        <v>560.41999999999996</v>
      </c>
      <c r="F781" s="313">
        <v>-0.01</v>
      </c>
      <c r="G781" s="313">
        <v>1749</v>
      </c>
      <c r="H781" s="313">
        <v>3191.51</v>
      </c>
    </row>
    <row r="782" spans="1:8" x14ac:dyDescent="0.2">
      <c r="A782" s="313">
        <v>1764000750</v>
      </c>
      <c r="B782" s="313" t="s">
        <v>1844</v>
      </c>
      <c r="C782" s="314">
        <v>266000</v>
      </c>
      <c r="D782" s="313">
        <v>266000</v>
      </c>
      <c r="E782" s="313">
        <v>210890</v>
      </c>
      <c r="F782" s="313">
        <v>-55110</v>
      </c>
    </row>
    <row r="783" spans="1:8" x14ac:dyDescent="0.2">
      <c r="A783" s="313">
        <v>1764000783</v>
      </c>
      <c r="B783" s="313" t="s">
        <v>1462</v>
      </c>
      <c r="C783" s="314">
        <v>125000</v>
      </c>
      <c r="D783" s="313">
        <v>125000</v>
      </c>
      <c r="F783" s="313">
        <v>-125000</v>
      </c>
    </row>
    <row r="784" spans="1:8" x14ac:dyDescent="0.2">
      <c r="A784" s="313">
        <v>1765100810</v>
      </c>
      <c r="B784" s="313" t="s">
        <v>796</v>
      </c>
      <c r="C784" s="314">
        <v>126000</v>
      </c>
      <c r="D784" s="313">
        <v>126000</v>
      </c>
      <c r="E784" s="313">
        <v>126004</v>
      </c>
      <c r="F784" s="313">
        <v>4</v>
      </c>
      <c r="G784" s="313">
        <v>123800</v>
      </c>
      <c r="H784" s="313">
        <v>122800</v>
      </c>
    </row>
    <row r="785" spans="1:8" x14ac:dyDescent="0.2">
      <c r="A785" s="313">
        <v>1766000810</v>
      </c>
      <c r="B785" s="313" t="s">
        <v>797</v>
      </c>
      <c r="C785" s="314">
        <v>590000</v>
      </c>
      <c r="D785" s="313">
        <v>590000</v>
      </c>
      <c r="E785" s="313">
        <v>576294.6</v>
      </c>
      <c r="F785" s="313">
        <v>-13705.4</v>
      </c>
      <c r="G785" s="313">
        <v>584064.68999999994</v>
      </c>
      <c r="H785" s="313">
        <v>652449</v>
      </c>
    </row>
    <row r="786" spans="1:8" x14ac:dyDescent="0.2">
      <c r="A786" s="313">
        <v>1767000440</v>
      </c>
      <c r="B786" s="313" t="s">
        <v>558</v>
      </c>
      <c r="C786" s="314">
        <v>1384659</v>
      </c>
      <c r="D786" s="313">
        <v>1384659</v>
      </c>
      <c r="E786" s="313">
        <v>1270091.06</v>
      </c>
      <c r="F786" s="313">
        <v>-114567.94</v>
      </c>
      <c r="G786" s="313">
        <v>1125326.06</v>
      </c>
      <c r="H786" s="313">
        <v>1596970.5</v>
      </c>
    </row>
    <row r="787" spans="1:8" x14ac:dyDescent="0.2">
      <c r="A787" s="313">
        <v>1769000780</v>
      </c>
      <c r="B787" s="313" t="s">
        <v>800</v>
      </c>
      <c r="H787" s="313">
        <v>64908.99</v>
      </c>
    </row>
    <row r="788" spans="1:8" x14ac:dyDescent="0.2">
      <c r="A788" s="313">
        <v>1769000781</v>
      </c>
      <c r="B788" s="313" t="s">
        <v>265</v>
      </c>
      <c r="C788" s="314">
        <v>27000</v>
      </c>
      <c r="D788" s="313">
        <v>27000</v>
      </c>
      <c r="E788" s="313">
        <v>17238</v>
      </c>
      <c r="F788" s="313">
        <v>-9762</v>
      </c>
      <c r="G788" s="313">
        <v>27000</v>
      </c>
      <c r="H788" s="313">
        <v>27340</v>
      </c>
    </row>
    <row r="789" spans="1:8" x14ac:dyDescent="0.2">
      <c r="A789" s="313">
        <v>1769000785</v>
      </c>
      <c r="B789" s="313" t="s">
        <v>801</v>
      </c>
      <c r="C789" s="314">
        <v>130880</v>
      </c>
      <c r="D789" s="313">
        <v>130880</v>
      </c>
      <c r="E789" s="313">
        <v>131880</v>
      </c>
      <c r="F789" s="313">
        <v>1000</v>
      </c>
      <c r="G789" s="313">
        <v>147088</v>
      </c>
    </row>
    <row r="790" spans="1:8" x14ac:dyDescent="0.2">
      <c r="A790" s="313">
        <v>1769000810</v>
      </c>
      <c r="B790" s="313" t="s">
        <v>1552</v>
      </c>
      <c r="C790" s="314">
        <v>64000</v>
      </c>
      <c r="D790" s="313">
        <v>64000</v>
      </c>
      <c r="E790" s="313">
        <v>64000</v>
      </c>
      <c r="G790" s="313">
        <v>64000</v>
      </c>
      <c r="H790" s="313">
        <v>36000</v>
      </c>
    </row>
    <row r="791" spans="1:8" x14ac:dyDescent="0.2">
      <c r="A791" s="313">
        <v>1772000430</v>
      </c>
      <c r="B791" s="313" t="s">
        <v>1690</v>
      </c>
      <c r="C791" s="314">
        <v>650</v>
      </c>
      <c r="D791" s="313">
        <v>650</v>
      </c>
      <c r="F791" s="313">
        <v>-650</v>
      </c>
    </row>
    <row r="792" spans="1:8" x14ac:dyDescent="0.2">
      <c r="A792" s="313">
        <v>1772000511</v>
      </c>
      <c r="B792" s="313" t="s">
        <v>802</v>
      </c>
      <c r="C792" s="314">
        <v>1000</v>
      </c>
      <c r="D792" s="313">
        <v>1000</v>
      </c>
      <c r="E792" s="313">
        <v>501.71</v>
      </c>
      <c r="F792" s="313">
        <v>-498.29</v>
      </c>
    </row>
    <row r="793" spans="1:8" x14ac:dyDescent="0.2">
      <c r="A793" s="313">
        <v>1772000530</v>
      </c>
      <c r="B793" s="313" t="s">
        <v>1847</v>
      </c>
      <c r="C793" s="314">
        <v>95224</v>
      </c>
      <c r="D793" s="313">
        <v>95224</v>
      </c>
      <c r="E793" s="313">
        <v>60847.33</v>
      </c>
      <c r="F793" s="313">
        <v>-34376.67</v>
      </c>
    </row>
    <row r="794" spans="1:8" x14ac:dyDescent="0.2">
      <c r="A794" s="313">
        <v>1772000550</v>
      </c>
      <c r="B794" s="313" t="s">
        <v>1242</v>
      </c>
      <c r="C794" s="314">
        <v>260000</v>
      </c>
      <c r="D794" s="313">
        <v>260000</v>
      </c>
      <c r="E794" s="313">
        <v>202700.58</v>
      </c>
      <c r="F794" s="313">
        <v>-57299.42</v>
      </c>
      <c r="G794" s="313">
        <v>245982.4</v>
      </c>
      <c r="H794" s="313">
        <v>162415</v>
      </c>
    </row>
    <row r="795" spans="1:8" x14ac:dyDescent="0.2">
      <c r="A795" s="313">
        <v>1772000561</v>
      </c>
      <c r="B795" s="313" t="s">
        <v>664</v>
      </c>
      <c r="C795" s="314">
        <v>750</v>
      </c>
      <c r="D795" s="313">
        <v>750</v>
      </c>
      <c r="E795" s="313">
        <v>816.65</v>
      </c>
      <c r="F795" s="313">
        <v>66.650000000000006</v>
      </c>
      <c r="G795" s="313">
        <v>1695.94</v>
      </c>
      <c r="H795" s="313">
        <v>3364.39</v>
      </c>
    </row>
    <row r="796" spans="1:8" x14ac:dyDescent="0.2">
      <c r="A796" s="313">
        <v>1772000581</v>
      </c>
      <c r="B796" s="313" t="s">
        <v>1936</v>
      </c>
      <c r="C796" s="314">
        <v>1500</v>
      </c>
      <c r="D796" s="313">
        <v>1500</v>
      </c>
      <c r="F796" s="313">
        <v>-1500</v>
      </c>
    </row>
    <row r="797" spans="1:8" x14ac:dyDescent="0.2">
      <c r="A797" s="313">
        <v>1772000731</v>
      </c>
      <c r="B797" s="313" t="s">
        <v>1849</v>
      </c>
      <c r="C797" s="314">
        <v>0</v>
      </c>
      <c r="D797" s="313">
        <v>0</v>
      </c>
      <c r="E797" s="313">
        <v>0</v>
      </c>
      <c r="G797" s="313">
        <v>71892.95</v>
      </c>
      <c r="H797" s="313">
        <v>8390.98</v>
      </c>
    </row>
    <row r="798" spans="1:8" x14ac:dyDescent="0.2">
      <c r="A798" s="313">
        <v>1772000750</v>
      </c>
      <c r="B798" s="313" t="s">
        <v>714</v>
      </c>
      <c r="C798" s="314">
        <v>0</v>
      </c>
      <c r="D798" s="313">
        <v>0</v>
      </c>
      <c r="G798" s="313">
        <v>6867.15</v>
      </c>
      <c r="H798" s="313">
        <v>107791.84</v>
      </c>
    </row>
    <row r="799" spans="1:8" x14ac:dyDescent="0.2">
      <c r="A799" s="313">
        <v>1772000780</v>
      </c>
      <c r="B799" s="313" t="s">
        <v>580</v>
      </c>
      <c r="C799" s="314">
        <v>6000</v>
      </c>
      <c r="D799" s="313">
        <v>6000</v>
      </c>
      <c r="E799" s="313">
        <v>234</v>
      </c>
      <c r="F799" s="313">
        <v>-5766</v>
      </c>
      <c r="G799" s="313">
        <v>8100.14</v>
      </c>
      <c r="H799" s="313">
        <v>10011.31</v>
      </c>
    </row>
    <row r="800" spans="1:8" x14ac:dyDescent="0.2">
      <c r="A800" s="313">
        <v>1772000910</v>
      </c>
      <c r="B800" s="313" t="s">
        <v>804</v>
      </c>
      <c r="C800" s="314">
        <v>204838</v>
      </c>
      <c r="D800" s="313">
        <v>204838</v>
      </c>
      <c r="E800" s="313">
        <v>54838</v>
      </c>
      <c r="F800" s="313">
        <v>-150000</v>
      </c>
      <c r="G800" s="313">
        <v>100183.2</v>
      </c>
      <c r="H800" s="313">
        <v>7746</v>
      </c>
    </row>
    <row r="801" spans="1:8" x14ac:dyDescent="0.2">
      <c r="A801" s="313">
        <v>1781000560</v>
      </c>
      <c r="B801" s="313" t="s">
        <v>807</v>
      </c>
      <c r="C801" s="314">
        <v>1250</v>
      </c>
      <c r="D801" s="313">
        <v>1250</v>
      </c>
      <c r="E801" s="313">
        <v>933.78</v>
      </c>
      <c r="F801" s="313">
        <v>-316.22000000000003</v>
      </c>
      <c r="G801" s="313">
        <v>4829.8100000000004</v>
      </c>
      <c r="H801" s="313">
        <v>5552.82</v>
      </c>
    </row>
    <row r="802" spans="1:8" x14ac:dyDescent="0.2">
      <c r="A802" s="313">
        <v>1781000570</v>
      </c>
      <c r="B802" s="313" t="s">
        <v>1851</v>
      </c>
      <c r="C802" s="314">
        <v>134708</v>
      </c>
      <c r="D802" s="313">
        <v>134708</v>
      </c>
      <c r="E802" s="313">
        <v>163903.45000000001</v>
      </c>
      <c r="F802" s="313">
        <v>29195.45</v>
      </c>
      <c r="G802" s="313">
        <v>151737.35999999999</v>
      </c>
      <c r="H802" s="313">
        <v>52083.040000000001</v>
      </c>
    </row>
    <row r="803" spans="1:8" x14ac:dyDescent="0.2">
      <c r="A803" s="313">
        <v>1781000581</v>
      </c>
      <c r="B803" s="313" t="s">
        <v>1852</v>
      </c>
      <c r="C803" s="314">
        <v>3240</v>
      </c>
      <c r="D803" s="313">
        <v>3240</v>
      </c>
      <c r="E803" s="313">
        <v>2337.23</v>
      </c>
      <c r="F803" s="313">
        <v>-902.77</v>
      </c>
    </row>
    <row r="804" spans="1:8" x14ac:dyDescent="0.2">
      <c r="A804" s="313">
        <v>1781000750</v>
      </c>
      <c r="B804" s="313" t="s">
        <v>714</v>
      </c>
      <c r="H804" s="313">
        <v>28831.98</v>
      </c>
    </row>
    <row r="805" spans="1:8" x14ac:dyDescent="0.2">
      <c r="A805" s="313">
        <v>1781000752</v>
      </c>
      <c r="B805" s="313" t="s">
        <v>259</v>
      </c>
      <c r="C805" s="314">
        <v>23517</v>
      </c>
      <c r="D805" s="313">
        <v>23517</v>
      </c>
      <c r="E805" s="313">
        <v>5516.64</v>
      </c>
      <c r="F805" s="313">
        <v>-18000.36</v>
      </c>
      <c r="G805" s="313">
        <v>70022.2</v>
      </c>
      <c r="H805" s="313">
        <v>90581.7</v>
      </c>
    </row>
    <row r="806" spans="1:8" x14ac:dyDescent="0.2">
      <c r="A806" s="313">
        <v>1781000753</v>
      </c>
      <c r="B806" s="313" t="s">
        <v>1640</v>
      </c>
      <c r="C806" s="314">
        <v>57000</v>
      </c>
      <c r="D806" s="313">
        <v>57000</v>
      </c>
      <c r="E806" s="313">
        <v>33033.51</v>
      </c>
      <c r="F806" s="313">
        <v>-23966.49</v>
      </c>
    </row>
    <row r="807" spans="1:8" x14ac:dyDescent="0.2">
      <c r="A807" s="313">
        <v>1781000930</v>
      </c>
      <c r="B807" s="313" t="s">
        <v>961</v>
      </c>
      <c r="C807" s="314">
        <v>293</v>
      </c>
      <c r="D807" s="313">
        <v>293</v>
      </c>
      <c r="E807" s="313">
        <v>292.5</v>
      </c>
      <c r="F807" s="313">
        <v>-0.5</v>
      </c>
    </row>
    <row r="808" spans="1:8" x14ac:dyDescent="0.2">
      <c r="A808" s="313">
        <v>1781003731</v>
      </c>
      <c r="B808" s="313" t="s">
        <v>811</v>
      </c>
      <c r="C808" s="314">
        <v>941</v>
      </c>
      <c r="D808" s="313">
        <v>941</v>
      </c>
      <c r="E808" s="313">
        <v>817</v>
      </c>
      <c r="F808" s="313">
        <v>-124</v>
      </c>
      <c r="G808" s="313">
        <v>976</v>
      </c>
      <c r="H808" s="313">
        <v>1319</v>
      </c>
    </row>
    <row r="809" spans="1:8" x14ac:dyDescent="0.2">
      <c r="A809" s="313">
        <v>1781004731</v>
      </c>
      <c r="B809" s="313" t="s">
        <v>123</v>
      </c>
      <c r="C809" s="314">
        <v>4474</v>
      </c>
      <c r="D809" s="313">
        <v>4474</v>
      </c>
      <c r="E809" s="313">
        <v>700</v>
      </c>
      <c r="F809" s="313">
        <v>-3774</v>
      </c>
      <c r="G809" s="313">
        <v>909</v>
      </c>
      <c r="H809" s="313">
        <v>1146</v>
      </c>
    </row>
    <row r="810" spans="1:8" x14ac:dyDescent="0.2">
      <c r="A810" s="313">
        <v>1781005731</v>
      </c>
      <c r="B810" s="313" t="s">
        <v>124</v>
      </c>
      <c r="C810" s="314">
        <v>974</v>
      </c>
      <c r="D810" s="313">
        <v>974</v>
      </c>
      <c r="E810" s="313">
        <v>700</v>
      </c>
      <c r="F810" s="313">
        <v>-274</v>
      </c>
      <c r="G810" s="313">
        <v>876</v>
      </c>
      <c r="H810" s="313">
        <v>1500</v>
      </c>
    </row>
    <row r="811" spans="1:8" x14ac:dyDescent="0.2">
      <c r="A811" s="313">
        <v>1781006731</v>
      </c>
      <c r="B811" s="313" t="s">
        <v>79</v>
      </c>
      <c r="C811" s="314">
        <v>907</v>
      </c>
      <c r="D811" s="313">
        <v>907</v>
      </c>
      <c r="E811" s="313">
        <v>633</v>
      </c>
      <c r="F811" s="313">
        <v>-274</v>
      </c>
      <c r="G811" s="313">
        <v>976</v>
      </c>
      <c r="H811" s="313">
        <v>1358</v>
      </c>
    </row>
    <row r="812" spans="1:8" x14ac:dyDescent="0.2">
      <c r="A812" s="313">
        <v>1781007731</v>
      </c>
      <c r="B812" s="313" t="s">
        <v>1619</v>
      </c>
      <c r="C812" s="314">
        <v>939</v>
      </c>
      <c r="D812" s="313">
        <v>939</v>
      </c>
      <c r="E812" s="313">
        <v>698</v>
      </c>
      <c r="F812" s="313">
        <v>-241</v>
      </c>
      <c r="G812" s="313">
        <v>655</v>
      </c>
    </row>
    <row r="813" spans="1:8" x14ac:dyDescent="0.2">
      <c r="A813" s="313">
        <v>1781008731</v>
      </c>
      <c r="B813" s="313" t="s">
        <v>1937</v>
      </c>
      <c r="C813" s="314">
        <v>16000</v>
      </c>
      <c r="D813" s="313">
        <v>16000</v>
      </c>
      <c r="E813" s="313">
        <v>5999</v>
      </c>
      <c r="F813" s="313">
        <v>-10001</v>
      </c>
    </row>
    <row r="814" spans="1:8" x14ac:dyDescent="0.2">
      <c r="A814" s="313">
        <v>1781100442</v>
      </c>
      <c r="B814" s="313" t="s">
        <v>812</v>
      </c>
      <c r="C814" s="314">
        <v>2500</v>
      </c>
      <c r="D814" s="313">
        <v>2500</v>
      </c>
      <c r="F814" s="313">
        <v>-2500</v>
      </c>
      <c r="G814" s="313">
        <v>3048</v>
      </c>
      <c r="H814" s="313">
        <v>3000</v>
      </c>
    </row>
    <row r="815" spans="1:8" x14ac:dyDescent="0.2">
      <c r="A815" s="313">
        <v>1781100511</v>
      </c>
      <c r="B815" s="313" t="s">
        <v>813</v>
      </c>
      <c r="C815" s="314">
        <v>3655</v>
      </c>
      <c r="D815" s="313">
        <v>3655</v>
      </c>
      <c r="E815" s="313">
        <v>2034</v>
      </c>
      <c r="F815" s="313">
        <v>-1621</v>
      </c>
      <c r="G815" s="313">
        <v>2504</v>
      </c>
    </row>
    <row r="816" spans="1:8" x14ac:dyDescent="0.2">
      <c r="A816" s="313">
        <v>1781100521</v>
      </c>
      <c r="B816" s="313" t="s">
        <v>646</v>
      </c>
      <c r="C816" s="314">
        <v>48800</v>
      </c>
      <c r="D816" s="313">
        <v>48800</v>
      </c>
      <c r="E816" s="313">
        <v>45646</v>
      </c>
      <c r="F816" s="313">
        <v>-3154</v>
      </c>
      <c r="G816" s="313">
        <v>24999.4</v>
      </c>
      <c r="H816" s="313">
        <v>1884</v>
      </c>
    </row>
    <row r="817" spans="1:8" x14ac:dyDescent="0.2">
      <c r="A817" s="313">
        <v>1781100570</v>
      </c>
      <c r="B817" s="313" t="s">
        <v>814</v>
      </c>
      <c r="G817" s="313">
        <v>7547</v>
      </c>
      <c r="H817" s="313">
        <v>0</v>
      </c>
    </row>
    <row r="818" spans="1:8" x14ac:dyDescent="0.2">
      <c r="A818" s="313">
        <v>1781100743</v>
      </c>
      <c r="B818" s="313" t="s">
        <v>815</v>
      </c>
      <c r="C818" s="314">
        <v>52000</v>
      </c>
      <c r="D818" s="313">
        <v>52000</v>
      </c>
      <c r="E818" s="313">
        <v>30215.5</v>
      </c>
      <c r="F818" s="313">
        <v>-21784.5</v>
      </c>
      <c r="G818" s="313">
        <v>23893.5</v>
      </c>
      <c r="H818" s="313">
        <v>44557.36</v>
      </c>
    </row>
    <row r="819" spans="1:8" x14ac:dyDescent="0.2">
      <c r="A819" s="313">
        <v>1781100750</v>
      </c>
      <c r="B819" s="313" t="s">
        <v>816</v>
      </c>
      <c r="C819" s="314">
        <v>732977</v>
      </c>
      <c r="D819" s="313">
        <v>732977</v>
      </c>
      <c r="E819" s="313">
        <v>432202.47</v>
      </c>
      <c r="F819" s="313">
        <v>-300774.53000000003</v>
      </c>
      <c r="G819" s="313">
        <v>655280.38</v>
      </c>
      <c r="H819" s="313">
        <v>636710</v>
      </c>
    </row>
    <row r="820" spans="1:8" x14ac:dyDescent="0.2">
      <c r="A820" s="313">
        <v>1781100751</v>
      </c>
      <c r="B820" s="313" t="s">
        <v>1496</v>
      </c>
      <c r="C820" s="314">
        <v>25932</v>
      </c>
      <c r="D820" s="313">
        <v>25932</v>
      </c>
      <c r="E820" s="313">
        <v>9828.7800000000007</v>
      </c>
      <c r="F820" s="313">
        <v>-16103.22</v>
      </c>
      <c r="G820" s="313">
        <v>18548.810000000001</v>
      </c>
      <c r="H820" s="313">
        <v>9568.14</v>
      </c>
    </row>
    <row r="821" spans="1:8" x14ac:dyDescent="0.2">
      <c r="A821" s="313">
        <v>1781100780</v>
      </c>
      <c r="B821" s="313" t="s">
        <v>580</v>
      </c>
      <c r="C821" s="314">
        <v>175000</v>
      </c>
      <c r="D821" s="313">
        <v>175000</v>
      </c>
      <c r="E821" s="313">
        <v>133842.51</v>
      </c>
      <c r="F821" s="313">
        <v>-41157.49</v>
      </c>
      <c r="G821" s="313">
        <v>113345.75</v>
      </c>
      <c r="H821" s="313">
        <v>85127.33</v>
      </c>
    </row>
    <row r="822" spans="1:8" x14ac:dyDescent="0.2">
      <c r="A822" s="313">
        <v>1781100930</v>
      </c>
      <c r="B822" s="313" t="s">
        <v>739</v>
      </c>
      <c r="C822" s="314">
        <v>7345</v>
      </c>
      <c r="D822" s="313">
        <v>7345</v>
      </c>
      <c r="E822" s="313">
        <v>4433.92</v>
      </c>
      <c r="F822" s="313">
        <v>-2911.08</v>
      </c>
      <c r="G822" s="313">
        <v>13278.11</v>
      </c>
      <c r="H822" s="313">
        <v>2706.35</v>
      </c>
    </row>
    <row r="823" spans="1:8" x14ac:dyDescent="0.2">
      <c r="A823" s="313">
        <v>1781200521</v>
      </c>
      <c r="B823" s="313" t="s">
        <v>1637</v>
      </c>
      <c r="C823" s="314">
        <v>39200</v>
      </c>
      <c r="D823" s="313">
        <v>39200</v>
      </c>
      <c r="E823" s="313">
        <v>22676</v>
      </c>
      <c r="F823" s="313">
        <v>-16524</v>
      </c>
    </row>
    <row r="824" spans="1:8" x14ac:dyDescent="0.2">
      <c r="A824" s="313">
        <v>1781200743</v>
      </c>
      <c r="B824" s="313" t="s">
        <v>1638</v>
      </c>
      <c r="C824" s="314">
        <v>20000</v>
      </c>
      <c r="D824" s="313">
        <v>20000</v>
      </c>
      <c r="E824" s="313">
        <v>19948.5</v>
      </c>
      <c r="F824" s="313">
        <v>-51.5</v>
      </c>
    </row>
    <row r="825" spans="1:8" x14ac:dyDescent="0.2">
      <c r="A825" s="313">
        <v>1781200744</v>
      </c>
      <c r="B825" s="313" t="s">
        <v>1858</v>
      </c>
      <c r="C825" s="314">
        <v>78000</v>
      </c>
      <c r="D825" s="313">
        <v>78000</v>
      </c>
      <c r="E825" s="313">
        <v>26000</v>
      </c>
      <c r="F825" s="313">
        <v>-52000</v>
      </c>
    </row>
    <row r="826" spans="1:8" x14ac:dyDescent="0.2">
      <c r="A826" s="313">
        <v>1781365731</v>
      </c>
      <c r="B826" s="313" t="s">
        <v>1495</v>
      </c>
      <c r="H826" s="313">
        <v>1859</v>
      </c>
    </row>
    <row r="827" spans="1:8" x14ac:dyDescent="0.2">
      <c r="A827" s="313">
        <v>1781375731</v>
      </c>
      <c r="B827" s="313" t="s">
        <v>1859</v>
      </c>
      <c r="C827" s="314">
        <v>19341</v>
      </c>
      <c r="D827" s="313">
        <v>19341</v>
      </c>
      <c r="E827" s="313">
        <v>8781.11</v>
      </c>
      <c r="F827" s="313">
        <v>-10559.89</v>
      </c>
      <c r="G827" s="313">
        <v>15635.97</v>
      </c>
      <c r="H827" s="313">
        <v>12125.1</v>
      </c>
    </row>
    <row r="828" spans="1:8" x14ac:dyDescent="0.2">
      <c r="A828" s="313">
        <v>1781385731</v>
      </c>
      <c r="B828" s="313" t="s">
        <v>1860</v>
      </c>
      <c r="C828" s="314">
        <v>17951</v>
      </c>
      <c r="D828" s="313">
        <v>17951</v>
      </c>
      <c r="E828" s="313">
        <v>6047.06</v>
      </c>
      <c r="F828" s="313">
        <v>-11903.94</v>
      </c>
      <c r="G828" s="313">
        <v>13458.74</v>
      </c>
      <c r="H828" s="313">
        <v>13420.12</v>
      </c>
    </row>
    <row r="829" spans="1:8" x14ac:dyDescent="0.2">
      <c r="A829" s="313">
        <v>1811000422</v>
      </c>
      <c r="B829" s="313" t="s">
        <v>818</v>
      </c>
      <c r="C829" s="314">
        <v>5000</v>
      </c>
      <c r="D829" s="313">
        <v>5000</v>
      </c>
      <c r="E829" s="313">
        <v>4934.3</v>
      </c>
      <c r="F829" s="313">
        <v>-65.7</v>
      </c>
      <c r="G829" s="313">
        <v>5049.92</v>
      </c>
      <c r="H829" s="313">
        <v>4959</v>
      </c>
    </row>
    <row r="830" spans="1:8" x14ac:dyDescent="0.2">
      <c r="A830" s="313">
        <v>1811000440</v>
      </c>
      <c r="B830" s="313" t="s">
        <v>558</v>
      </c>
      <c r="C830" s="314">
        <v>393050</v>
      </c>
      <c r="D830" s="313">
        <v>393050</v>
      </c>
      <c r="E830" s="313">
        <v>334386.89</v>
      </c>
      <c r="F830" s="313">
        <v>-58663.11</v>
      </c>
      <c r="G830" s="313">
        <v>888514.58</v>
      </c>
      <c r="H830" s="313">
        <v>632799.56000000006</v>
      </c>
    </row>
    <row r="831" spans="1:8" x14ac:dyDescent="0.2">
      <c r="A831" s="313">
        <v>1811000470</v>
      </c>
      <c r="B831" s="313" t="s">
        <v>820</v>
      </c>
      <c r="C831" s="314">
        <v>400</v>
      </c>
      <c r="D831" s="313">
        <v>400</v>
      </c>
      <c r="E831" s="313">
        <v>386</v>
      </c>
      <c r="F831" s="313">
        <v>-14</v>
      </c>
      <c r="G831" s="313">
        <v>12909.84</v>
      </c>
      <c r="H831" s="313">
        <v>9016.34</v>
      </c>
    </row>
    <row r="832" spans="1:8" x14ac:dyDescent="0.2">
      <c r="A832" s="313">
        <v>1811000511</v>
      </c>
      <c r="B832" s="313" t="s">
        <v>697</v>
      </c>
      <c r="C832" s="314">
        <v>5500</v>
      </c>
      <c r="D832" s="313">
        <v>5500</v>
      </c>
      <c r="E832" s="313">
        <v>2783.51</v>
      </c>
      <c r="F832" s="313">
        <v>-2716.49</v>
      </c>
      <c r="G832" s="313">
        <v>5415.65</v>
      </c>
      <c r="H832" s="313">
        <v>1721.06</v>
      </c>
    </row>
    <row r="833" spans="1:8" x14ac:dyDescent="0.2">
      <c r="A833" s="313">
        <v>1811000512</v>
      </c>
      <c r="B833" s="313" t="s">
        <v>821</v>
      </c>
      <c r="H833" s="313">
        <v>1436</v>
      </c>
    </row>
    <row r="834" spans="1:8" x14ac:dyDescent="0.2">
      <c r="A834" s="313">
        <v>1811000530</v>
      </c>
      <c r="B834" s="313" t="s">
        <v>1861</v>
      </c>
      <c r="C834" s="314">
        <v>60967</v>
      </c>
      <c r="D834" s="313">
        <v>60967</v>
      </c>
      <c r="E834" s="313">
        <v>46817.21</v>
      </c>
      <c r="F834" s="313">
        <v>-14149.79</v>
      </c>
      <c r="G834" s="313">
        <v>58848.01</v>
      </c>
      <c r="H834" s="313">
        <v>62031.74</v>
      </c>
    </row>
    <row r="835" spans="1:8" x14ac:dyDescent="0.2">
      <c r="A835" s="313">
        <v>1811000550</v>
      </c>
      <c r="B835" s="313" t="s">
        <v>822</v>
      </c>
      <c r="C835" s="314">
        <v>632</v>
      </c>
      <c r="D835" s="313">
        <v>632</v>
      </c>
      <c r="E835" s="313">
        <v>631.79999999999995</v>
      </c>
      <c r="F835" s="313">
        <v>-0.2</v>
      </c>
      <c r="G835" s="313">
        <v>976</v>
      </c>
      <c r="H835" s="313">
        <v>5595.69</v>
      </c>
    </row>
    <row r="836" spans="1:8" x14ac:dyDescent="0.2">
      <c r="A836" s="313">
        <v>1811000560</v>
      </c>
      <c r="B836" s="313" t="s">
        <v>823</v>
      </c>
      <c r="C836" s="314">
        <v>4000</v>
      </c>
      <c r="D836" s="313">
        <v>4000</v>
      </c>
      <c r="E836" s="313">
        <v>3531.6</v>
      </c>
      <c r="F836" s="313">
        <v>-468.4</v>
      </c>
      <c r="G836" s="313">
        <v>2691</v>
      </c>
      <c r="H836" s="313">
        <v>3096.64</v>
      </c>
    </row>
    <row r="837" spans="1:8" x14ac:dyDescent="0.2">
      <c r="A837" s="313">
        <v>1811000570</v>
      </c>
      <c r="B837" s="313" t="s">
        <v>824</v>
      </c>
      <c r="C837" s="314">
        <v>54957</v>
      </c>
      <c r="D837" s="313">
        <v>54957</v>
      </c>
      <c r="E837" s="313">
        <v>45735.66</v>
      </c>
      <c r="F837" s="313">
        <v>-9221.34</v>
      </c>
      <c r="G837" s="313">
        <v>81734.97</v>
      </c>
      <c r="H837" s="313">
        <v>56440.27</v>
      </c>
    </row>
    <row r="838" spans="1:8" x14ac:dyDescent="0.2">
      <c r="A838" s="313">
        <v>1811000571</v>
      </c>
      <c r="B838" s="313" t="s">
        <v>590</v>
      </c>
      <c r="C838" s="314">
        <v>13800</v>
      </c>
      <c r="D838" s="313">
        <v>13800</v>
      </c>
      <c r="E838" s="313">
        <v>9108.82</v>
      </c>
      <c r="F838" s="313">
        <v>-4691.18</v>
      </c>
      <c r="G838" s="313">
        <v>8588.34</v>
      </c>
      <c r="H838" s="313">
        <v>7935.82</v>
      </c>
    </row>
    <row r="839" spans="1:8" x14ac:dyDescent="0.2">
      <c r="A839" s="313">
        <v>1811000580</v>
      </c>
      <c r="B839" s="313" t="s">
        <v>825</v>
      </c>
      <c r="C839" s="314">
        <v>8848</v>
      </c>
      <c r="D839" s="313">
        <v>8848</v>
      </c>
      <c r="E839" s="313">
        <v>8764.2999999999993</v>
      </c>
      <c r="F839" s="313">
        <v>-83.7</v>
      </c>
      <c r="G839" s="313">
        <v>12569.22</v>
      </c>
      <c r="H839" s="313">
        <v>14131.62</v>
      </c>
    </row>
    <row r="840" spans="1:8" x14ac:dyDescent="0.2">
      <c r="A840" s="313">
        <v>1811000581</v>
      </c>
      <c r="B840" s="313" t="s">
        <v>1862</v>
      </c>
      <c r="C840" s="314">
        <v>6600</v>
      </c>
      <c r="D840" s="313">
        <v>6600</v>
      </c>
      <c r="E840" s="313">
        <v>4475.99</v>
      </c>
      <c r="F840" s="313">
        <v>-2124.0100000000002</v>
      </c>
    </row>
    <row r="841" spans="1:8" x14ac:dyDescent="0.2">
      <c r="A841" s="313">
        <v>1811000780</v>
      </c>
      <c r="B841" s="313" t="s">
        <v>580</v>
      </c>
      <c r="C841" s="314">
        <v>6500</v>
      </c>
      <c r="D841" s="313">
        <v>6500</v>
      </c>
      <c r="E841" s="313">
        <v>6249</v>
      </c>
      <c r="F841" s="313">
        <v>-251</v>
      </c>
      <c r="G841" s="313">
        <v>8180.78</v>
      </c>
      <c r="H841" s="313">
        <v>5850</v>
      </c>
    </row>
    <row r="842" spans="1:8" x14ac:dyDescent="0.2">
      <c r="A842" s="313">
        <v>1811000910</v>
      </c>
      <c r="B842" s="313" t="s">
        <v>827</v>
      </c>
      <c r="C842" s="314">
        <v>485426</v>
      </c>
      <c r="D842" s="313">
        <v>485426</v>
      </c>
      <c r="E842" s="313">
        <v>432672.11</v>
      </c>
      <c r="F842" s="313">
        <v>-52753.89</v>
      </c>
      <c r="G842" s="313">
        <v>89107.89</v>
      </c>
      <c r="H842" s="313">
        <v>28754</v>
      </c>
    </row>
    <row r="843" spans="1:8" x14ac:dyDescent="0.2">
      <c r="A843" s="313">
        <v>1811000930</v>
      </c>
      <c r="B843" s="313" t="s">
        <v>1864</v>
      </c>
      <c r="C843" s="314">
        <v>5300</v>
      </c>
      <c r="D843" s="313">
        <v>5300</v>
      </c>
      <c r="E843" s="313">
        <v>2565</v>
      </c>
      <c r="F843" s="313">
        <v>-2735</v>
      </c>
    </row>
    <row r="844" spans="1:8" x14ac:dyDescent="0.2">
      <c r="A844" s="313">
        <v>1811001530</v>
      </c>
      <c r="B844" s="313" t="s">
        <v>1620</v>
      </c>
      <c r="C844" s="314">
        <v>58381</v>
      </c>
      <c r="D844" s="313">
        <v>58381</v>
      </c>
      <c r="E844" s="313">
        <v>44339.37</v>
      </c>
      <c r="F844" s="313">
        <v>-14041.63</v>
      </c>
      <c r="G844" s="313">
        <v>38953</v>
      </c>
    </row>
    <row r="845" spans="1:8" x14ac:dyDescent="0.2">
      <c r="A845" s="313">
        <v>1811002731</v>
      </c>
      <c r="B845" s="313" t="s">
        <v>1865</v>
      </c>
      <c r="C845" s="314">
        <v>6701</v>
      </c>
      <c r="D845" s="313">
        <v>6701</v>
      </c>
      <c r="E845" s="313">
        <v>3461.96</v>
      </c>
      <c r="F845" s="313">
        <v>-3239.04</v>
      </c>
      <c r="G845" s="313">
        <v>3737.83</v>
      </c>
      <c r="H845" s="313">
        <v>5434.1</v>
      </c>
    </row>
    <row r="846" spans="1:8" x14ac:dyDescent="0.2">
      <c r="A846" s="313">
        <v>1822000750</v>
      </c>
      <c r="B846" s="313" t="s">
        <v>828</v>
      </c>
      <c r="C846" s="314">
        <v>169000</v>
      </c>
      <c r="D846" s="313">
        <v>169000</v>
      </c>
      <c r="E846" s="313">
        <v>167264.04999999999</v>
      </c>
      <c r="F846" s="313">
        <v>-1735.95</v>
      </c>
      <c r="G846" s="313">
        <v>167776.45</v>
      </c>
      <c r="H846" s="313">
        <v>169176.23</v>
      </c>
    </row>
    <row r="847" spans="1:8" x14ac:dyDescent="0.2">
      <c r="A847" s="313">
        <v>1822000780</v>
      </c>
      <c r="B847" s="313" t="s">
        <v>829</v>
      </c>
      <c r="C847" s="314">
        <v>2103000</v>
      </c>
      <c r="D847" s="313">
        <v>2103000</v>
      </c>
      <c r="E847" s="313">
        <v>1868191.32</v>
      </c>
      <c r="F847" s="313">
        <v>-234808.68</v>
      </c>
      <c r="G847" s="313">
        <v>1794760.7</v>
      </c>
      <c r="H847" s="313">
        <v>1833435.02</v>
      </c>
    </row>
    <row r="848" spans="1:8" x14ac:dyDescent="0.2">
      <c r="A848" s="313">
        <v>1822000781</v>
      </c>
      <c r="B848" s="313" t="s">
        <v>830</v>
      </c>
      <c r="C848" s="314">
        <v>200000</v>
      </c>
      <c r="D848" s="313">
        <v>200000</v>
      </c>
      <c r="E848" s="313">
        <v>168120.23</v>
      </c>
      <c r="F848" s="313">
        <v>-31879.77</v>
      </c>
      <c r="G848" s="313">
        <v>141644.35999999999</v>
      </c>
      <c r="H848" s="313">
        <v>100908.37</v>
      </c>
    </row>
    <row r="849" spans="1:8" x14ac:dyDescent="0.2">
      <c r="A849" s="313">
        <v>1822000782</v>
      </c>
      <c r="B849" s="313" t="s">
        <v>831</v>
      </c>
      <c r="C849" s="314">
        <v>794000</v>
      </c>
      <c r="D849" s="313">
        <v>794000</v>
      </c>
      <c r="E849" s="313">
        <v>455812.95</v>
      </c>
      <c r="F849" s="313">
        <v>-338187.05</v>
      </c>
      <c r="G849" s="313">
        <v>757578.21</v>
      </c>
      <c r="H849" s="313">
        <v>757388.01</v>
      </c>
    </row>
    <row r="850" spans="1:8" x14ac:dyDescent="0.2">
      <c r="A850" s="313">
        <v>1822000783</v>
      </c>
      <c r="B850" s="313" t="s">
        <v>832</v>
      </c>
      <c r="C850" s="314">
        <v>318000</v>
      </c>
      <c r="D850" s="313">
        <v>318000</v>
      </c>
      <c r="E850" s="313">
        <v>319969.19</v>
      </c>
      <c r="F850" s="313">
        <v>1969.19</v>
      </c>
      <c r="G850" s="313">
        <v>313719.14</v>
      </c>
      <c r="H850" s="313">
        <v>301507.8</v>
      </c>
    </row>
    <row r="851" spans="1:8" x14ac:dyDescent="0.2">
      <c r="A851" s="313">
        <v>1822000784</v>
      </c>
      <c r="B851" s="313" t="s">
        <v>833</v>
      </c>
      <c r="C851" s="314">
        <v>353000</v>
      </c>
      <c r="D851" s="313">
        <v>353000</v>
      </c>
      <c r="E851" s="313">
        <v>347521.25</v>
      </c>
      <c r="F851" s="313">
        <v>-5478.75</v>
      </c>
      <c r="G851" s="313">
        <v>352600.41</v>
      </c>
      <c r="H851" s="313">
        <v>217703.2</v>
      </c>
    </row>
    <row r="852" spans="1:8" x14ac:dyDescent="0.2">
      <c r="A852" s="313">
        <v>1822000785</v>
      </c>
      <c r="B852" s="313" t="s">
        <v>834</v>
      </c>
      <c r="C852" s="314">
        <v>6000</v>
      </c>
      <c r="D852" s="313">
        <v>6000</v>
      </c>
      <c r="E852" s="313">
        <v>6682.63</v>
      </c>
      <c r="F852" s="313">
        <v>682.63</v>
      </c>
      <c r="G852" s="313">
        <v>10121.15</v>
      </c>
      <c r="H852" s="313">
        <v>9382.14</v>
      </c>
    </row>
    <row r="853" spans="1:8" x14ac:dyDescent="0.2">
      <c r="A853" s="313">
        <v>1822000786</v>
      </c>
      <c r="B853" s="313" t="s">
        <v>835</v>
      </c>
      <c r="C853" s="314">
        <v>145000</v>
      </c>
      <c r="D853" s="313">
        <v>145000</v>
      </c>
      <c r="E853" s="313">
        <v>154096.82</v>
      </c>
      <c r="F853" s="313">
        <v>9096.82</v>
      </c>
      <c r="G853" s="313">
        <v>142260.21</v>
      </c>
      <c r="H853" s="313">
        <v>130101.5</v>
      </c>
    </row>
    <row r="854" spans="1:8" x14ac:dyDescent="0.2">
      <c r="A854" s="313">
        <v>1822000788</v>
      </c>
      <c r="B854" s="313" t="s">
        <v>174</v>
      </c>
      <c r="C854" s="314">
        <v>350000</v>
      </c>
      <c r="D854" s="313">
        <v>350000</v>
      </c>
      <c r="E854" s="313">
        <v>364837.62</v>
      </c>
      <c r="F854" s="313">
        <v>14837.62</v>
      </c>
      <c r="G854" s="313">
        <v>360720.98</v>
      </c>
      <c r="H854" s="313">
        <v>295373.90000000002</v>
      </c>
    </row>
    <row r="855" spans="1:8" x14ac:dyDescent="0.2">
      <c r="A855" s="313">
        <v>1822300780</v>
      </c>
      <c r="B855" s="313" t="s">
        <v>837</v>
      </c>
      <c r="C855" s="314">
        <v>710000</v>
      </c>
      <c r="D855" s="313">
        <v>710000</v>
      </c>
      <c r="E855" s="313">
        <v>655596.31000000006</v>
      </c>
      <c r="F855" s="313">
        <v>-54403.69</v>
      </c>
      <c r="G855" s="313">
        <v>311137.38</v>
      </c>
      <c r="H855" s="313">
        <v>531935.65</v>
      </c>
    </row>
    <row r="856" spans="1:8" x14ac:dyDescent="0.2">
      <c r="A856" s="313">
        <v>1822300781</v>
      </c>
      <c r="B856" s="313" t="s">
        <v>82</v>
      </c>
      <c r="C856" s="314">
        <v>100000</v>
      </c>
      <c r="D856" s="313">
        <v>100000</v>
      </c>
      <c r="E856" s="313">
        <v>94466.99</v>
      </c>
      <c r="F856" s="313">
        <v>-5533.01</v>
      </c>
      <c r="G856" s="313">
        <v>100000</v>
      </c>
      <c r="H856" s="313">
        <v>305177.3</v>
      </c>
    </row>
    <row r="857" spans="1:8" x14ac:dyDescent="0.2">
      <c r="A857" s="313">
        <v>1822300782</v>
      </c>
      <c r="B857" s="313" t="s">
        <v>1461</v>
      </c>
      <c r="C857" s="314">
        <v>20000</v>
      </c>
      <c r="D857" s="313">
        <v>20000</v>
      </c>
      <c r="E857" s="313">
        <v>15000</v>
      </c>
      <c r="F857" s="313">
        <v>-5000</v>
      </c>
      <c r="G857" s="313">
        <v>20000</v>
      </c>
    </row>
    <row r="858" spans="1:8" x14ac:dyDescent="0.2">
      <c r="A858" s="313">
        <v>1822800780</v>
      </c>
      <c r="B858" s="313" t="s">
        <v>838</v>
      </c>
      <c r="C858" s="314">
        <v>110000</v>
      </c>
      <c r="D858" s="313">
        <v>110000</v>
      </c>
      <c r="E858" s="313">
        <v>110000</v>
      </c>
      <c r="G858" s="313">
        <v>110000</v>
      </c>
      <c r="H858" s="313">
        <v>110000</v>
      </c>
    </row>
    <row r="859" spans="1:8" x14ac:dyDescent="0.2">
      <c r="A859" s="313">
        <v>1823000430</v>
      </c>
      <c r="B859" s="313" t="s">
        <v>839</v>
      </c>
      <c r="C859" s="314">
        <v>60000</v>
      </c>
      <c r="D859" s="313">
        <v>60000</v>
      </c>
      <c r="E859" s="313">
        <v>50763.31</v>
      </c>
      <c r="F859" s="313">
        <v>-9236.69</v>
      </c>
      <c r="G859" s="313">
        <v>59145.56</v>
      </c>
      <c r="H859" s="313">
        <v>56922.239999999998</v>
      </c>
    </row>
    <row r="860" spans="1:8" x14ac:dyDescent="0.2">
      <c r="A860" s="313">
        <v>1823000520</v>
      </c>
      <c r="B860" s="313" t="s">
        <v>841</v>
      </c>
      <c r="C860" s="314">
        <v>10500</v>
      </c>
      <c r="D860" s="313">
        <v>10500</v>
      </c>
      <c r="E860" s="313">
        <v>6201</v>
      </c>
      <c r="F860" s="313">
        <v>-4299</v>
      </c>
      <c r="G860" s="313">
        <v>15170</v>
      </c>
      <c r="H860" s="313">
        <v>14628</v>
      </c>
    </row>
    <row r="861" spans="1:8" x14ac:dyDescent="0.2">
      <c r="A861" s="313">
        <v>1823000540</v>
      </c>
      <c r="B861" s="313" t="s">
        <v>843</v>
      </c>
      <c r="C861" s="314">
        <v>3200</v>
      </c>
      <c r="D861" s="313">
        <v>3200</v>
      </c>
      <c r="E861" s="313">
        <v>2638.94</v>
      </c>
      <c r="F861" s="313">
        <v>-561.05999999999995</v>
      </c>
      <c r="G861" s="313">
        <v>5858.9</v>
      </c>
      <c r="H861" s="313">
        <v>4239.2299999999996</v>
      </c>
    </row>
    <row r="862" spans="1:8" x14ac:dyDescent="0.2">
      <c r="A862" s="313">
        <v>1823000560</v>
      </c>
      <c r="B862" s="313" t="s">
        <v>844</v>
      </c>
      <c r="C862" s="314">
        <v>3000</v>
      </c>
      <c r="D862" s="313">
        <v>3000</v>
      </c>
      <c r="E862" s="313">
        <v>2900.93</v>
      </c>
      <c r="F862" s="313">
        <v>-99.07</v>
      </c>
      <c r="G862" s="313">
        <v>1522.89</v>
      </c>
      <c r="H862" s="313">
        <v>1813.13</v>
      </c>
    </row>
    <row r="863" spans="1:8" x14ac:dyDescent="0.2">
      <c r="A863" s="313">
        <v>1823000570</v>
      </c>
      <c r="B863" s="313" t="s">
        <v>1897</v>
      </c>
      <c r="C863" s="314">
        <v>2810</v>
      </c>
      <c r="D863" s="313">
        <v>2810</v>
      </c>
      <c r="E863" s="313">
        <v>1916.02</v>
      </c>
      <c r="F863" s="313">
        <v>-893.98</v>
      </c>
    </row>
    <row r="864" spans="1:8" x14ac:dyDescent="0.2">
      <c r="A864" s="313">
        <v>1823000731</v>
      </c>
      <c r="B864" s="313" t="s">
        <v>1151</v>
      </c>
      <c r="C864" s="314">
        <v>18593</v>
      </c>
      <c r="D864" s="313">
        <v>18593</v>
      </c>
      <c r="E864" s="313">
        <v>17650.259999999998</v>
      </c>
      <c r="F864" s="313">
        <v>-942.74</v>
      </c>
      <c r="G864" s="313">
        <v>15976.6</v>
      </c>
      <c r="H864" s="313">
        <v>19509.43</v>
      </c>
    </row>
    <row r="865" spans="1:8" x14ac:dyDescent="0.2">
      <c r="A865" s="313">
        <v>1823000740</v>
      </c>
      <c r="B865" s="313" t="s">
        <v>845</v>
      </c>
      <c r="C865" s="314">
        <v>0</v>
      </c>
      <c r="D865" s="313">
        <v>0</v>
      </c>
      <c r="G865" s="313">
        <v>5645.16</v>
      </c>
      <c r="H865" s="313">
        <v>5484</v>
      </c>
    </row>
    <row r="866" spans="1:8" x14ac:dyDescent="0.2">
      <c r="A866" s="313">
        <v>1823000750</v>
      </c>
      <c r="B866" s="313" t="s">
        <v>846</v>
      </c>
      <c r="C866" s="314">
        <v>20000</v>
      </c>
      <c r="D866" s="313">
        <v>20000</v>
      </c>
      <c r="E866" s="313">
        <v>18371.3</v>
      </c>
      <c r="F866" s="313">
        <v>-1628.7</v>
      </c>
      <c r="G866" s="313">
        <v>17112.349999999999</v>
      </c>
      <c r="H866" s="313">
        <v>17550</v>
      </c>
    </row>
    <row r="867" spans="1:8" x14ac:dyDescent="0.2">
      <c r="A867" s="313">
        <v>1823000780</v>
      </c>
      <c r="B867" s="313" t="s">
        <v>580</v>
      </c>
      <c r="C867" s="314">
        <v>19800</v>
      </c>
      <c r="D867" s="313">
        <v>19800</v>
      </c>
      <c r="E867" s="313">
        <v>13169.07</v>
      </c>
      <c r="F867" s="313">
        <v>-6630.93</v>
      </c>
      <c r="G867" s="313">
        <v>13277.9</v>
      </c>
      <c r="H867" s="313">
        <v>17408.8</v>
      </c>
    </row>
    <row r="868" spans="1:8" x14ac:dyDescent="0.2">
      <c r="A868" s="313">
        <v>1823000930</v>
      </c>
      <c r="B868" s="313" t="s">
        <v>847</v>
      </c>
      <c r="C868" s="314">
        <v>4890</v>
      </c>
      <c r="D868" s="313">
        <v>4890</v>
      </c>
      <c r="F868" s="313">
        <v>-4890</v>
      </c>
      <c r="H868" s="313">
        <v>1563.43</v>
      </c>
    </row>
    <row r="869" spans="1:8" x14ac:dyDescent="0.2">
      <c r="A869" s="313">
        <v>1824000810</v>
      </c>
      <c r="B869" s="313" t="s">
        <v>849</v>
      </c>
      <c r="C869" s="314">
        <v>3570402</v>
      </c>
      <c r="D869" s="313">
        <v>3570402</v>
      </c>
      <c r="E869" s="313">
        <v>3570394</v>
      </c>
      <c r="F869" s="313">
        <v>-8</v>
      </c>
      <c r="G869" s="313">
        <v>3506996</v>
      </c>
      <c r="H869" s="313">
        <v>3430000</v>
      </c>
    </row>
    <row r="870" spans="1:8" x14ac:dyDescent="0.2">
      <c r="A870" s="313">
        <v>1824000811</v>
      </c>
      <c r="B870" s="313" t="s">
        <v>177</v>
      </c>
      <c r="C870" s="314">
        <v>350000</v>
      </c>
      <c r="D870" s="313">
        <v>350000</v>
      </c>
      <c r="E870" s="313">
        <v>300000</v>
      </c>
      <c r="F870" s="313">
        <v>-50000</v>
      </c>
      <c r="G870" s="313">
        <v>240000</v>
      </c>
      <c r="H870" s="313">
        <v>190167</v>
      </c>
    </row>
    <row r="871" spans="1:8" x14ac:dyDescent="0.2">
      <c r="A871" s="313">
        <v>1824000812</v>
      </c>
      <c r="B871" s="313" t="s">
        <v>850</v>
      </c>
      <c r="C871" s="314">
        <v>80000</v>
      </c>
      <c r="D871" s="313">
        <v>80000</v>
      </c>
      <c r="E871" s="313">
        <v>79992</v>
      </c>
      <c r="F871" s="313">
        <v>-8</v>
      </c>
      <c r="G871" s="313">
        <v>80000</v>
      </c>
      <c r="H871" s="313">
        <v>159996</v>
      </c>
    </row>
    <row r="872" spans="1:8" x14ac:dyDescent="0.2">
      <c r="A872" s="313">
        <v>1824000813</v>
      </c>
      <c r="B872" s="313" t="s">
        <v>178</v>
      </c>
      <c r="C872" s="314">
        <v>206160</v>
      </c>
      <c r="D872" s="313">
        <v>206160</v>
      </c>
      <c r="E872" s="313">
        <v>206160</v>
      </c>
      <c r="G872" s="313">
        <v>236160</v>
      </c>
    </row>
    <row r="873" spans="1:8" x14ac:dyDescent="0.2">
      <c r="A873" s="313">
        <v>1824000814</v>
      </c>
      <c r="B873" s="313" t="s">
        <v>851</v>
      </c>
      <c r="C873" s="314">
        <v>60000</v>
      </c>
      <c r="D873" s="313">
        <v>60000</v>
      </c>
      <c r="E873" s="313">
        <v>60000</v>
      </c>
      <c r="G873" s="313">
        <v>60000</v>
      </c>
      <c r="H873" s="313">
        <v>80000</v>
      </c>
    </row>
    <row r="874" spans="1:8" x14ac:dyDescent="0.2">
      <c r="A874" s="313">
        <v>1824000816</v>
      </c>
      <c r="B874" s="313" t="s">
        <v>1166</v>
      </c>
      <c r="C874" s="314">
        <v>80000</v>
      </c>
      <c r="D874" s="313">
        <v>80000</v>
      </c>
      <c r="E874" s="313">
        <v>80000</v>
      </c>
      <c r="G874" s="313">
        <v>80000</v>
      </c>
      <c r="H874" s="313">
        <v>60000</v>
      </c>
    </row>
    <row r="875" spans="1:8" x14ac:dyDescent="0.2">
      <c r="A875" s="313">
        <v>1824000817</v>
      </c>
      <c r="B875" s="313" t="s">
        <v>1621</v>
      </c>
      <c r="C875" s="314">
        <v>30000</v>
      </c>
      <c r="D875" s="313">
        <v>30000</v>
      </c>
      <c r="F875" s="313">
        <v>-30000</v>
      </c>
      <c r="G875" s="313">
        <v>30000</v>
      </c>
    </row>
    <row r="876" spans="1:8" x14ac:dyDescent="0.2">
      <c r="A876" s="313">
        <v>1824000818</v>
      </c>
      <c r="B876" s="313" t="s">
        <v>1622</v>
      </c>
      <c r="C876" s="314">
        <v>30000</v>
      </c>
      <c r="D876" s="313">
        <v>30000</v>
      </c>
      <c r="E876" s="313">
        <v>30000</v>
      </c>
      <c r="G876" s="313">
        <v>30000</v>
      </c>
    </row>
    <row r="877" spans="1:8" x14ac:dyDescent="0.2">
      <c r="A877" s="313">
        <v>1825000530</v>
      </c>
      <c r="B877" s="313" t="s">
        <v>1623</v>
      </c>
      <c r="C877" s="314">
        <v>54993</v>
      </c>
      <c r="D877" s="313">
        <v>54993</v>
      </c>
      <c r="E877" s="313">
        <v>42916.28</v>
      </c>
      <c r="F877" s="313">
        <v>-12076.72</v>
      </c>
      <c r="G877" s="313">
        <v>43959.01</v>
      </c>
    </row>
    <row r="878" spans="1:8" x14ac:dyDescent="0.2">
      <c r="A878" s="313">
        <v>1825200420</v>
      </c>
      <c r="B878" s="313" t="s">
        <v>852</v>
      </c>
      <c r="C878" s="314">
        <v>40000</v>
      </c>
      <c r="D878" s="313">
        <v>40000</v>
      </c>
      <c r="E878" s="313">
        <v>33765.699999999997</v>
      </c>
      <c r="F878" s="313">
        <v>-6234.3</v>
      </c>
      <c r="G878" s="313">
        <v>21385.09</v>
      </c>
      <c r="H878" s="313">
        <v>21619.9</v>
      </c>
    </row>
    <row r="879" spans="1:8" x14ac:dyDescent="0.2">
      <c r="A879" s="313">
        <v>1825200430</v>
      </c>
      <c r="B879" s="313" t="s">
        <v>853</v>
      </c>
      <c r="C879" s="314">
        <v>84000</v>
      </c>
      <c r="D879" s="313">
        <v>84000</v>
      </c>
      <c r="E879" s="313">
        <v>56959.9</v>
      </c>
      <c r="F879" s="313">
        <v>-27040.1</v>
      </c>
      <c r="G879" s="313">
        <v>92725.71</v>
      </c>
      <c r="H879" s="313">
        <v>82521.19</v>
      </c>
    </row>
    <row r="880" spans="1:8" x14ac:dyDescent="0.2">
      <c r="A880" s="313">
        <v>1825200433</v>
      </c>
      <c r="B880" s="313" t="s">
        <v>854</v>
      </c>
      <c r="C880" s="314">
        <v>6500</v>
      </c>
      <c r="D880" s="313">
        <v>6500</v>
      </c>
      <c r="E880" s="313">
        <v>6003.8</v>
      </c>
      <c r="F880" s="313">
        <v>-496.2</v>
      </c>
      <c r="G880" s="313">
        <v>1755</v>
      </c>
      <c r="H880" s="313">
        <v>5255</v>
      </c>
    </row>
    <row r="881" spans="1:8" x14ac:dyDescent="0.2">
      <c r="A881" s="313">
        <v>1825200450</v>
      </c>
      <c r="B881" s="313" t="s">
        <v>855</v>
      </c>
      <c r="C881" s="314">
        <v>8000</v>
      </c>
      <c r="D881" s="313">
        <v>8000</v>
      </c>
      <c r="F881" s="313">
        <v>-8000</v>
      </c>
      <c r="G881" s="313">
        <v>2832</v>
      </c>
    </row>
    <row r="882" spans="1:8" x14ac:dyDescent="0.2">
      <c r="A882" s="313">
        <v>1825200470</v>
      </c>
      <c r="B882" s="313" t="s">
        <v>856</v>
      </c>
      <c r="C882" s="314">
        <v>1000</v>
      </c>
      <c r="D882" s="313">
        <v>1000</v>
      </c>
      <c r="E882" s="313">
        <v>978.71</v>
      </c>
      <c r="F882" s="313">
        <v>-21.29</v>
      </c>
      <c r="G882" s="313">
        <v>610.80999999999995</v>
      </c>
      <c r="H882" s="313">
        <v>1000</v>
      </c>
    </row>
    <row r="883" spans="1:8" x14ac:dyDescent="0.2">
      <c r="A883" s="313">
        <v>1825200511</v>
      </c>
      <c r="B883" s="313" t="s">
        <v>1624</v>
      </c>
      <c r="C883" s="314">
        <v>4500</v>
      </c>
      <c r="D883" s="313">
        <v>4500</v>
      </c>
      <c r="E883" s="313">
        <v>1875.37</v>
      </c>
      <c r="F883" s="313">
        <v>-2624.63</v>
      </c>
      <c r="G883" s="313">
        <v>935.4</v>
      </c>
    </row>
    <row r="884" spans="1:8" x14ac:dyDescent="0.2">
      <c r="A884" s="313">
        <v>1825200512</v>
      </c>
      <c r="B884" s="313" t="s">
        <v>857</v>
      </c>
      <c r="C884" s="314">
        <v>41940</v>
      </c>
      <c r="D884" s="313">
        <v>41940</v>
      </c>
      <c r="E884" s="313">
        <v>28544.9</v>
      </c>
      <c r="F884" s="313">
        <v>-13395.1</v>
      </c>
      <c r="G884" s="313">
        <v>19334</v>
      </c>
      <c r="H884" s="313">
        <v>47772</v>
      </c>
    </row>
    <row r="885" spans="1:8" x14ac:dyDescent="0.2">
      <c r="A885" s="313">
        <v>1825200520</v>
      </c>
      <c r="B885" s="313" t="s">
        <v>858</v>
      </c>
      <c r="C885" s="314">
        <v>8000</v>
      </c>
      <c r="D885" s="313">
        <v>8000</v>
      </c>
      <c r="E885" s="313">
        <v>7881.09</v>
      </c>
      <c r="F885" s="313">
        <v>-118.91</v>
      </c>
      <c r="G885" s="313">
        <v>7999.6</v>
      </c>
      <c r="H885" s="313">
        <v>8410</v>
      </c>
    </row>
    <row r="886" spans="1:8" x14ac:dyDescent="0.2">
      <c r="A886" s="313">
        <v>1825200540</v>
      </c>
      <c r="B886" s="313" t="s">
        <v>859</v>
      </c>
      <c r="C886" s="314">
        <v>5410</v>
      </c>
      <c r="D886" s="313">
        <v>5410</v>
      </c>
      <c r="E886" s="313">
        <v>4552.8599999999997</v>
      </c>
      <c r="F886" s="313">
        <v>-857.14</v>
      </c>
      <c r="G886" s="313">
        <v>6242.09</v>
      </c>
      <c r="H886" s="313">
        <v>6427.34</v>
      </c>
    </row>
    <row r="887" spans="1:8" x14ac:dyDescent="0.2">
      <c r="A887" s="313">
        <v>1825200550</v>
      </c>
      <c r="B887" s="313" t="s">
        <v>860</v>
      </c>
      <c r="C887" s="314">
        <v>8890</v>
      </c>
      <c r="D887" s="313">
        <v>8890</v>
      </c>
      <c r="E887" s="313">
        <v>8132.33</v>
      </c>
      <c r="F887" s="313">
        <v>-757.67</v>
      </c>
      <c r="G887" s="313">
        <v>18101</v>
      </c>
      <c r="H887" s="313">
        <v>27504</v>
      </c>
    </row>
    <row r="888" spans="1:8" x14ac:dyDescent="0.2">
      <c r="A888" s="313">
        <v>1825200560</v>
      </c>
      <c r="B888" s="313" t="s">
        <v>861</v>
      </c>
      <c r="C888" s="314">
        <v>2072</v>
      </c>
      <c r="D888" s="313">
        <v>2072</v>
      </c>
      <c r="E888" s="313">
        <v>332.16</v>
      </c>
      <c r="F888" s="313">
        <v>-1739.84</v>
      </c>
      <c r="G888" s="313">
        <v>5533.79</v>
      </c>
      <c r="H888" s="313">
        <v>10241.75</v>
      </c>
    </row>
    <row r="889" spans="1:8" x14ac:dyDescent="0.2">
      <c r="A889" s="313">
        <v>1825200570</v>
      </c>
      <c r="B889" s="313" t="s">
        <v>1625</v>
      </c>
      <c r="C889" s="314">
        <v>2808</v>
      </c>
      <c r="D889" s="313">
        <v>2808</v>
      </c>
      <c r="E889" s="313">
        <v>1920.53</v>
      </c>
      <c r="F889" s="313">
        <v>-887.47</v>
      </c>
      <c r="G889" s="313">
        <v>4334.2299999999996</v>
      </c>
    </row>
    <row r="890" spans="1:8" x14ac:dyDescent="0.2">
      <c r="A890" s="313">
        <v>1825200581</v>
      </c>
      <c r="B890" s="313" t="s">
        <v>1900</v>
      </c>
      <c r="C890" s="314">
        <v>7500</v>
      </c>
      <c r="D890" s="313">
        <v>7500</v>
      </c>
      <c r="E890" s="313">
        <v>4673.55</v>
      </c>
      <c r="F890" s="313">
        <v>-2826.45</v>
      </c>
    </row>
    <row r="891" spans="1:8" x14ac:dyDescent="0.2">
      <c r="A891" s="313">
        <v>1825200720</v>
      </c>
      <c r="B891" s="313" t="s">
        <v>862</v>
      </c>
      <c r="C891" s="314">
        <v>4000</v>
      </c>
      <c r="D891" s="313">
        <v>4000</v>
      </c>
      <c r="E891" s="313">
        <v>1310.4000000000001</v>
      </c>
      <c r="F891" s="313">
        <v>-2689.6</v>
      </c>
      <c r="H891" s="313">
        <v>2596</v>
      </c>
    </row>
    <row r="892" spans="1:8" x14ac:dyDescent="0.2">
      <c r="A892" s="313">
        <v>1825200732</v>
      </c>
      <c r="B892" s="313" t="s">
        <v>863</v>
      </c>
      <c r="C892" s="314">
        <v>20000</v>
      </c>
      <c r="D892" s="313">
        <v>20000</v>
      </c>
      <c r="E892" s="313">
        <v>15721</v>
      </c>
      <c r="F892" s="313">
        <v>-4279</v>
      </c>
      <c r="G892" s="313">
        <v>22322</v>
      </c>
      <c r="H892" s="313">
        <v>29097</v>
      </c>
    </row>
    <row r="893" spans="1:8" x14ac:dyDescent="0.2">
      <c r="A893" s="313">
        <v>1825200740</v>
      </c>
      <c r="B893" s="313" t="s">
        <v>737</v>
      </c>
      <c r="C893" s="314">
        <v>12000</v>
      </c>
      <c r="D893" s="313">
        <v>12000</v>
      </c>
      <c r="E893" s="313">
        <v>3804</v>
      </c>
      <c r="F893" s="313">
        <v>-8196</v>
      </c>
      <c r="G893" s="313">
        <v>6527.18</v>
      </c>
      <c r="H893" s="313">
        <v>15200</v>
      </c>
    </row>
    <row r="894" spans="1:8" x14ac:dyDescent="0.2">
      <c r="A894" s="313">
        <v>1825200750</v>
      </c>
      <c r="B894" s="313" t="s">
        <v>864</v>
      </c>
      <c r="C894" s="314">
        <v>83428</v>
      </c>
      <c r="D894" s="313">
        <v>83428</v>
      </c>
      <c r="E894" s="313">
        <v>69262.75</v>
      </c>
      <c r="F894" s="313">
        <v>-14165.25</v>
      </c>
      <c r="G894" s="313">
        <v>73571.100000000006</v>
      </c>
      <c r="H894" s="313">
        <v>49127.82</v>
      </c>
    </row>
    <row r="895" spans="1:8" x14ac:dyDescent="0.2">
      <c r="A895" s="313">
        <v>1825200760</v>
      </c>
      <c r="B895" s="313" t="s">
        <v>1626</v>
      </c>
      <c r="G895" s="313">
        <v>15173.92</v>
      </c>
      <c r="H895" s="313">
        <v>3149.98</v>
      </c>
    </row>
    <row r="896" spans="1:8" x14ac:dyDescent="0.2">
      <c r="A896" s="313">
        <v>1825200780</v>
      </c>
      <c r="B896" s="313" t="s">
        <v>865</v>
      </c>
      <c r="C896" s="314">
        <v>3060</v>
      </c>
      <c r="D896" s="313">
        <v>3060</v>
      </c>
      <c r="E896" s="313">
        <v>1960.41</v>
      </c>
      <c r="F896" s="313">
        <v>-1099.5899999999999</v>
      </c>
      <c r="G896" s="313">
        <v>29752.93</v>
      </c>
      <c r="H896" s="313">
        <v>24250.15</v>
      </c>
    </row>
    <row r="897" spans="1:8" x14ac:dyDescent="0.2">
      <c r="A897" s="313">
        <v>1825200786</v>
      </c>
      <c r="B897" s="313" t="s">
        <v>867</v>
      </c>
      <c r="C897" s="314">
        <v>31000</v>
      </c>
      <c r="D897" s="313">
        <v>31000</v>
      </c>
      <c r="E897" s="313">
        <v>13270</v>
      </c>
      <c r="F897" s="313">
        <v>-17730</v>
      </c>
      <c r="G897" s="313">
        <v>16143</v>
      </c>
      <c r="H897" s="313">
        <v>42943</v>
      </c>
    </row>
    <row r="898" spans="1:8" x14ac:dyDescent="0.2">
      <c r="A898" s="313">
        <v>1825200930</v>
      </c>
      <c r="B898" s="313" t="s">
        <v>868</v>
      </c>
      <c r="C898" s="314">
        <v>16000</v>
      </c>
      <c r="D898" s="313">
        <v>16000</v>
      </c>
      <c r="E898" s="313">
        <v>8443</v>
      </c>
      <c r="F898" s="313">
        <v>-7557</v>
      </c>
      <c r="G898" s="313">
        <v>5742.36</v>
      </c>
      <c r="H898" s="313">
        <v>25489</v>
      </c>
    </row>
    <row r="899" spans="1:8" x14ac:dyDescent="0.2">
      <c r="A899" s="313">
        <v>1826200830</v>
      </c>
      <c r="B899" s="313" t="s">
        <v>872</v>
      </c>
      <c r="C899" s="314">
        <v>45000</v>
      </c>
      <c r="D899" s="313">
        <v>45000</v>
      </c>
      <c r="E899" s="313">
        <v>45000</v>
      </c>
      <c r="G899" s="313">
        <v>45000</v>
      </c>
      <c r="H899" s="313">
        <v>45000</v>
      </c>
    </row>
    <row r="900" spans="1:8" x14ac:dyDescent="0.2">
      <c r="A900" s="313">
        <v>1826400410</v>
      </c>
      <c r="B900" s="313" t="s">
        <v>873</v>
      </c>
      <c r="G900" s="313">
        <v>97000.2</v>
      </c>
      <c r="H900" s="313">
        <v>159872.42000000001</v>
      </c>
    </row>
    <row r="901" spans="1:8" x14ac:dyDescent="0.2">
      <c r="A901" s="313">
        <v>1826400430</v>
      </c>
      <c r="B901" s="313" t="s">
        <v>874</v>
      </c>
      <c r="C901" s="314">
        <v>50000</v>
      </c>
      <c r="D901" s="313">
        <v>50000</v>
      </c>
      <c r="E901" s="313">
        <v>30259.72</v>
      </c>
      <c r="F901" s="313">
        <v>-19740.28</v>
      </c>
      <c r="G901" s="313">
        <v>50599.1</v>
      </c>
      <c r="H901" s="313">
        <v>56493.83</v>
      </c>
    </row>
    <row r="902" spans="1:8" x14ac:dyDescent="0.2">
      <c r="A902" s="313">
        <v>1826400540</v>
      </c>
      <c r="B902" s="313" t="s">
        <v>875</v>
      </c>
      <c r="C902" s="314">
        <v>3600</v>
      </c>
      <c r="D902" s="313">
        <v>3600</v>
      </c>
      <c r="E902" s="313">
        <v>2073.5300000000002</v>
      </c>
      <c r="F902" s="313">
        <v>-1526.47</v>
      </c>
      <c r="G902" s="313">
        <v>2443.25</v>
      </c>
      <c r="H902" s="313">
        <v>2980.76</v>
      </c>
    </row>
    <row r="903" spans="1:8" x14ac:dyDescent="0.2">
      <c r="A903" s="313">
        <v>1826500581</v>
      </c>
      <c r="B903" s="313" t="s">
        <v>1902</v>
      </c>
      <c r="C903" s="314">
        <v>240</v>
      </c>
      <c r="D903" s="313">
        <v>240</v>
      </c>
      <c r="E903" s="313">
        <v>166.19</v>
      </c>
      <c r="F903" s="313">
        <v>-73.81</v>
      </c>
    </row>
    <row r="904" spans="1:8" x14ac:dyDescent="0.2">
      <c r="A904" s="313">
        <v>1826500780</v>
      </c>
      <c r="B904" s="313" t="s">
        <v>876</v>
      </c>
      <c r="C904" s="314">
        <v>64760</v>
      </c>
      <c r="D904" s="313">
        <v>64760</v>
      </c>
      <c r="E904" s="313">
        <v>50703.42</v>
      </c>
      <c r="F904" s="313">
        <v>-14056.58</v>
      </c>
      <c r="G904" s="313">
        <v>52186.79</v>
      </c>
      <c r="H904" s="313">
        <v>39032.339999999997</v>
      </c>
    </row>
    <row r="905" spans="1:8" x14ac:dyDescent="0.2">
      <c r="A905" s="313">
        <v>1829200750</v>
      </c>
      <c r="B905" s="313" t="s">
        <v>878</v>
      </c>
      <c r="C905" s="314">
        <v>900000</v>
      </c>
      <c r="D905" s="313">
        <v>900000</v>
      </c>
      <c r="E905" s="313">
        <v>757614.97</v>
      </c>
      <c r="F905" s="313">
        <v>-142385.03</v>
      </c>
      <c r="G905" s="313">
        <v>875922.39</v>
      </c>
      <c r="H905" s="313">
        <v>903067.06</v>
      </c>
    </row>
    <row r="906" spans="1:8" x14ac:dyDescent="0.2">
      <c r="A906" s="313">
        <v>1829200751</v>
      </c>
      <c r="B906" s="313" t="s">
        <v>1545</v>
      </c>
      <c r="C906" s="314">
        <v>130000</v>
      </c>
      <c r="D906" s="313">
        <v>130000</v>
      </c>
      <c r="E906" s="313">
        <v>94875.3</v>
      </c>
      <c r="F906" s="313">
        <v>-35124.699999999997</v>
      </c>
      <c r="G906" s="313">
        <v>84333.6</v>
      </c>
    </row>
    <row r="907" spans="1:8" x14ac:dyDescent="0.2">
      <c r="A907" s="313">
        <v>1829900430</v>
      </c>
      <c r="B907" s="313" t="s">
        <v>1154</v>
      </c>
      <c r="C907" s="314">
        <v>123000</v>
      </c>
      <c r="D907" s="313">
        <v>123000</v>
      </c>
      <c r="E907" s="313">
        <v>112695.42</v>
      </c>
      <c r="F907" s="313">
        <v>-10304.58</v>
      </c>
      <c r="G907" s="313">
        <v>108105.63</v>
      </c>
      <c r="H907" s="313">
        <v>140601.67000000001</v>
      </c>
    </row>
    <row r="908" spans="1:8" x14ac:dyDescent="0.2">
      <c r="A908" s="313">
        <v>1829900431</v>
      </c>
      <c r="B908" s="313" t="s">
        <v>1546</v>
      </c>
      <c r="C908" s="314">
        <v>30000</v>
      </c>
      <c r="D908" s="313">
        <v>30000</v>
      </c>
      <c r="E908" s="313">
        <v>13493.61</v>
      </c>
      <c r="F908" s="313">
        <v>-16506.39</v>
      </c>
      <c r="G908" s="313">
        <v>12303</v>
      </c>
    </row>
    <row r="909" spans="1:8" x14ac:dyDescent="0.2">
      <c r="A909" s="313">
        <v>1829900750</v>
      </c>
      <c r="B909" s="313" t="s">
        <v>879</v>
      </c>
      <c r="C909" s="314">
        <v>843450</v>
      </c>
      <c r="D909" s="313">
        <v>843450</v>
      </c>
      <c r="E909" s="313">
        <v>652923</v>
      </c>
      <c r="F909" s="313">
        <v>-190527</v>
      </c>
      <c r="G909" s="313">
        <v>640000</v>
      </c>
      <c r="H909" s="313">
        <v>303117</v>
      </c>
    </row>
    <row r="910" spans="1:8" x14ac:dyDescent="0.2">
      <c r="A910" s="313">
        <v>1829900751</v>
      </c>
      <c r="B910" s="313" t="s">
        <v>1488</v>
      </c>
      <c r="E910" s="313">
        <v>142525</v>
      </c>
      <c r="F910" s="313">
        <v>142525</v>
      </c>
      <c r="G910" s="313">
        <v>1381644.42</v>
      </c>
      <c r="H910" s="313">
        <v>2201165.39</v>
      </c>
    </row>
    <row r="911" spans="1:8" x14ac:dyDescent="0.2">
      <c r="A911" s="313">
        <v>1829900810</v>
      </c>
      <c r="B911" s="313" t="s">
        <v>794</v>
      </c>
      <c r="C911" s="314">
        <v>3465000</v>
      </c>
      <c r="D911" s="313">
        <v>3465000</v>
      </c>
      <c r="E911" s="313">
        <v>3465001</v>
      </c>
      <c r="F911" s="313">
        <v>1</v>
      </c>
      <c r="G911" s="313">
        <v>4397500</v>
      </c>
      <c r="H911" s="313">
        <v>7750001</v>
      </c>
    </row>
    <row r="912" spans="1:8" x14ac:dyDescent="0.2">
      <c r="A912" s="313">
        <v>1829900811</v>
      </c>
      <c r="B912" s="313" t="s">
        <v>880</v>
      </c>
      <c r="C912" s="314">
        <v>1260</v>
      </c>
      <c r="D912" s="313">
        <v>1260</v>
      </c>
      <c r="E912" s="313">
        <v>850.91</v>
      </c>
      <c r="F912" s="313">
        <v>-409.09</v>
      </c>
      <c r="G912" s="313">
        <v>1467.23</v>
      </c>
      <c r="H912" s="313">
        <v>1650.81</v>
      </c>
    </row>
    <row r="913" spans="1:8" x14ac:dyDescent="0.2">
      <c r="A913" s="313">
        <v>1829900910</v>
      </c>
      <c r="B913" s="313" t="s">
        <v>881</v>
      </c>
      <c r="C913" s="314">
        <v>108378</v>
      </c>
      <c r="D913" s="313">
        <v>108378</v>
      </c>
      <c r="E913" s="313">
        <v>78378</v>
      </c>
      <c r="F913" s="313">
        <v>-30000</v>
      </c>
    </row>
    <row r="914" spans="1:8" x14ac:dyDescent="0.2">
      <c r="A914" s="313">
        <v>1829910810</v>
      </c>
      <c r="B914" s="313" t="s">
        <v>882</v>
      </c>
      <c r="C914" s="314">
        <v>257000</v>
      </c>
      <c r="D914" s="313">
        <v>257000</v>
      </c>
      <c r="F914" s="313">
        <v>-257000</v>
      </c>
      <c r="G914" s="313">
        <v>252000</v>
      </c>
    </row>
    <row r="915" spans="1:8" x14ac:dyDescent="0.2">
      <c r="A915" s="313">
        <v>1836100810</v>
      </c>
      <c r="B915" s="313" t="s">
        <v>883</v>
      </c>
      <c r="C915" s="314">
        <v>180000</v>
      </c>
      <c r="D915" s="313">
        <v>180000</v>
      </c>
      <c r="E915" s="313">
        <v>180000</v>
      </c>
      <c r="G915" s="313">
        <v>180000</v>
      </c>
      <c r="H915" s="313">
        <v>180000</v>
      </c>
    </row>
    <row r="916" spans="1:8" x14ac:dyDescent="0.2">
      <c r="A916" s="313">
        <v>1851000750</v>
      </c>
      <c r="B916" s="313" t="s">
        <v>1915</v>
      </c>
      <c r="C916" s="314">
        <v>119372</v>
      </c>
      <c r="D916" s="313">
        <v>119372</v>
      </c>
      <c r="E916" s="313">
        <v>103065.5</v>
      </c>
      <c r="F916" s="313">
        <v>-16306.5</v>
      </c>
      <c r="G916" s="313">
        <v>19656</v>
      </c>
    </row>
    <row r="917" spans="1:8" x14ac:dyDescent="0.2">
      <c r="A917" s="313">
        <v>1851000780</v>
      </c>
      <c r="B917" s="313" t="s">
        <v>1916</v>
      </c>
      <c r="C917" s="314">
        <v>440</v>
      </c>
      <c r="D917" s="313">
        <v>440</v>
      </c>
      <c r="E917" s="313">
        <v>348.81</v>
      </c>
      <c r="F917" s="313">
        <v>-91.19</v>
      </c>
    </row>
    <row r="918" spans="1:8" x14ac:dyDescent="0.2">
      <c r="A918" s="313">
        <v>1851000810</v>
      </c>
      <c r="B918" s="313" t="s">
        <v>794</v>
      </c>
      <c r="C918" s="314">
        <v>1710000</v>
      </c>
      <c r="D918" s="313">
        <v>1710000</v>
      </c>
      <c r="E918" s="313">
        <v>1670004</v>
      </c>
      <c r="F918" s="313">
        <v>-39996</v>
      </c>
      <c r="G918" s="313">
        <v>1670000</v>
      </c>
      <c r="H918" s="313">
        <v>1670112</v>
      </c>
    </row>
    <row r="919" spans="1:8" x14ac:dyDescent="0.2">
      <c r="A919" s="313">
        <v>1851000910</v>
      </c>
      <c r="B919" s="313" t="s">
        <v>1628</v>
      </c>
      <c r="C919" s="314">
        <v>160000</v>
      </c>
      <c r="D919" s="313">
        <v>160000</v>
      </c>
      <c r="F919" s="313">
        <v>-160000</v>
      </c>
      <c r="G919" s="313">
        <v>302000</v>
      </c>
    </row>
    <row r="920" spans="1:8" x14ac:dyDescent="0.2">
      <c r="A920" s="313">
        <v>1860000410</v>
      </c>
      <c r="B920" s="313" t="s">
        <v>873</v>
      </c>
      <c r="C920" s="314">
        <v>144231</v>
      </c>
      <c r="D920" s="313">
        <v>144231</v>
      </c>
      <c r="E920" s="313">
        <v>104380.66</v>
      </c>
      <c r="F920" s="313">
        <v>-39850.339999999997</v>
      </c>
      <c r="G920" s="313">
        <v>83672</v>
      </c>
      <c r="H920" s="313">
        <v>98518.71</v>
      </c>
    </row>
    <row r="921" spans="1:8" x14ac:dyDescent="0.2">
      <c r="A921" s="313">
        <v>1860000470</v>
      </c>
      <c r="B921" s="313" t="s">
        <v>884</v>
      </c>
      <c r="C921" s="314">
        <v>1500</v>
      </c>
      <c r="D921" s="313">
        <v>1500</v>
      </c>
      <c r="E921" s="313">
        <v>1439.1</v>
      </c>
      <c r="F921" s="313">
        <v>-60.9</v>
      </c>
      <c r="G921" s="313">
        <v>7625.02</v>
      </c>
      <c r="H921" s="313">
        <v>6147.91</v>
      </c>
    </row>
    <row r="922" spans="1:8" x14ac:dyDescent="0.2">
      <c r="A922" s="313">
        <v>1860000511</v>
      </c>
      <c r="B922" s="313" t="s">
        <v>1918</v>
      </c>
      <c r="C922" s="314">
        <v>700</v>
      </c>
      <c r="D922" s="313">
        <v>700</v>
      </c>
      <c r="E922" s="313">
        <v>199.2</v>
      </c>
      <c r="F922" s="313">
        <v>-500.8</v>
      </c>
    </row>
    <row r="923" spans="1:8" x14ac:dyDescent="0.2">
      <c r="A923" s="313">
        <v>1860000540</v>
      </c>
      <c r="B923" s="313" t="s">
        <v>209</v>
      </c>
      <c r="C923" s="314">
        <v>4440</v>
      </c>
      <c r="D923" s="313">
        <v>4440</v>
      </c>
      <c r="E923" s="313">
        <v>3077.89</v>
      </c>
      <c r="F923" s="313">
        <v>-1362.11</v>
      </c>
      <c r="G923" s="313">
        <v>1922.19</v>
      </c>
      <c r="H923" s="313">
        <v>1643.61</v>
      </c>
    </row>
    <row r="924" spans="1:8" x14ac:dyDescent="0.2">
      <c r="A924" s="313">
        <v>1860000581</v>
      </c>
      <c r="B924" s="313" t="s">
        <v>1919</v>
      </c>
      <c r="C924" s="314">
        <v>4800</v>
      </c>
      <c r="D924" s="313">
        <v>4800</v>
      </c>
      <c r="E924" s="313">
        <v>3488.13</v>
      </c>
      <c r="F924" s="313">
        <v>-1311.87</v>
      </c>
    </row>
    <row r="925" spans="1:8" x14ac:dyDescent="0.2">
      <c r="A925" s="313">
        <v>1860000780</v>
      </c>
      <c r="B925" s="313" t="s">
        <v>580</v>
      </c>
      <c r="C925" s="314">
        <v>272531</v>
      </c>
      <c r="D925" s="313">
        <v>272531</v>
      </c>
      <c r="E925" s="313">
        <v>210870.98</v>
      </c>
      <c r="F925" s="313">
        <v>-61660.02</v>
      </c>
      <c r="G925" s="313">
        <v>506999.43</v>
      </c>
      <c r="H925" s="313">
        <v>376381.97</v>
      </c>
    </row>
    <row r="926" spans="1:8" x14ac:dyDescent="0.2">
      <c r="A926" s="313">
        <v>1860000910</v>
      </c>
      <c r="B926" s="313" t="s">
        <v>741</v>
      </c>
      <c r="C926" s="314">
        <v>213769</v>
      </c>
      <c r="D926" s="313">
        <v>213769</v>
      </c>
      <c r="E926" s="313">
        <v>213769</v>
      </c>
      <c r="G926" s="313">
        <v>114865</v>
      </c>
      <c r="H926" s="313">
        <v>172250.49</v>
      </c>
    </row>
    <row r="927" spans="1:8" x14ac:dyDescent="0.2">
      <c r="A927" s="313">
        <v>1879000810</v>
      </c>
      <c r="B927" s="313" t="s">
        <v>887</v>
      </c>
      <c r="C927" s="314">
        <v>161850</v>
      </c>
      <c r="D927" s="313">
        <v>161850</v>
      </c>
      <c r="E927" s="313">
        <v>162150</v>
      </c>
      <c r="F927" s="313">
        <v>300</v>
      </c>
      <c r="G927" s="313">
        <v>162000</v>
      </c>
      <c r="H927" s="313">
        <v>161850</v>
      </c>
    </row>
    <row r="928" spans="1:8" x14ac:dyDescent="0.2">
      <c r="A928" s="313">
        <v>1913000750</v>
      </c>
      <c r="B928" s="313" t="s">
        <v>714</v>
      </c>
      <c r="H928" s="313">
        <v>46917.84</v>
      </c>
    </row>
    <row r="929" spans="1:8" x14ac:dyDescent="0.2">
      <c r="A929" s="313">
        <v>1931000511</v>
      </c>
      <c r="B929" s="313" t="s">
        <v>889</v>
      </c>
      <c r="C929" s="314">
        <v>1200</v>
      </c>
      <c r="D929" s="313">
        <v>1200</v>
      </c>
      <c r="E929" s="313">
        <v>485.49</v>
      </c>
      <c r="F929" s="313">
        <v>-714.51</v>
      </c>
      <c r="G929" s="313">
        <v>1200</v>
      </c>
      <c r="H929" s="313">
        <v>1199.99</v>
      </c>
    </row>
    <row r="930" spans="1:8" x14ac:dyDescent="0.2">
      <c r="A930" s="313">
        <v>1931000560</v>
      </c>
      <c r="B930" s="313" t="s">
        <v>890</v>
      </c>
      <c r="C930" s="314">
        <v>1060</v>
      </c>
      <c r="D930" s="313">
        <v>1060</v>
      </c>
      <c r="E930" s="313">
        <v>292.5</v>
      </c>
      <c r="F930" s="313">
        <v>-767.5</v>
      </c>
      <c r="G930" s="313">
        <v>7458.75</v>
      </c>
      <c r="H930" s="313">
        <v>6301.89</v>
      </c>
    </row>
    <row r="931" spans="1:8" x14ac:dyDescent="0.2">
      <c r="A931" s="313">
        <v>1931000581</v>
      </c>
      <c r="B931" s="313" t="s">
        <v>1920</v>
      </c>
      <c r="C931" s="314">
        <v>4940</v>
      </c>
      <c r="D931" s="313">
        <v>4940</v>
      </c>
      <c r="E931" s="313">
        <v>4019.04</v>
      </c>
      <c r="F931" s="313">
        <v>-920.96</v>
      </c>
    </row>
    <row r="932" spans="1:8" x14ac:dyDescent="0.2">
      <c r="A932" s="313">
        <v>1931000750</v>
      </c>
      <c r="B932" s="313" t="s">
        <v>714</v>
      </c>
      <c r="C932" s="314">
        <v>324550</v>
      </c>
      <c r="D932" s="313">
        <v>324550</v>
      </c>
      <c r="E932" s="313">
        <v>156231</v>
      </c>
      <c r="F932" s="313">
        <v>-168319</v>
      </c>
      <c r="G932" s="313">
        <v>244700.85</v>
      </c>
      <c r="H932" s="313">
        <v>191220.22</v>
      </c>
    </row>
    <row r="933" spans="1:8" x14ac:dyDescent="0.2">
      <c r="A933" s="313">
        <v>1931000751</v>
      </c>
      <c r="B933" s="313" t="s">
        <v>1921</v>
      </c>
      <c r="C933" s="314">
        <v>6000</v>
      </c>
      <c r="D933" s="313">
        <v>6000</v>
      </c>
      <c r="E933" s="313">
        <v>11000</v>
      </c>
      <c r="F933" s="313">
        <v>5000</v>
      </c>
    </row>
    <row r="934" spans="1:8" x14ac:dyDescent="0.2">
      <c r="A934" s="313">
        <v>1931000930</v>
      </c>
      <c r="B934" s="313" t="s">
        <v>1922</v>
      </c>
      <c r="C934" s="314">
        <v>8074</v>
      </c>
      <c r="D934" s="313">
        <v>8074</v>
      </c>
      <c r="E934" s="313">
        <v>3074</v>
      </c>
      <c r="F934" s="313">
        <v>-5000</v>
      </c>
    </row>
    <row r="935" spans="1:8" x14ac:dyDescent="0.2">
      <c r="A935" s="313">
        <v>1931000980</v>
      </c>
      <c r="B935" s="313" t="s">
        <v>580</v>
      </c>
      <c r="C935" s="314">
        <v>78426</v>
      </c>
      <c r="D935" s="313">
        <v>78426</v>
      </c>
      <c r="E935" s="313">
        <v>54391.74</v>
      </c>
      <c r="F935" s="313">
        <v>-24034.26</v>
      </c>
      <c r="G935" s="313">
        <v>28045.73</v>
      </c>
      <c r="H935" s="313">
        <v>27712.5</v>
      </c>
    </row>
    <row r="936" spans="1:8" x14ac:dyDescent="0.2">
      <c r="A936" s="313">
        <v>1937000430</v>
      </c>
      <c r="B936" s="313" t="s">
        <v>1923</v>
      </c>
      <c r="C936" s="314">
        <v>102600</v>
      </c>
      <c r="D936" s="313">
        <v>102600</v>
      </c>
      <c r="E936" s="313">
        <v>61363.8</v>
      </c>
      <c r="F936" s="313">
        <v>-41236.199999999997</v>
      </c>
    </row>
    <row r="937" spans="1:8" x14ac:dyDescent="0.2">
      <c r="A937" s="313">
        <v>1937000750</v>
      </c>
      <c r="B937" s="313" t="s">
        <v>892</v>
      </c>
      <c r="G937" s="313">
        <v>0</v>
      </c>
      <c r="H937" s="313">
        <v>226215.3</v>
      </c>
    </row>
    <row r="938" spans="1:8" x14ac:dyDescent="0.2">
      <c r="A938" s="313">
        <v>1937000780</v>
      </c>
      <c r="B938" s="313" t="s">
        <v>580</v>
      </c>
      <c r="C938" s="314">
        <v>601</v>
      </c>
      <c r="D938" s="313">
        <v>601</v>
      </c>
      <c r="E938" s="313">
        <v>501.6</v>
      </c>
      <c r="F938" s="313">
        <v>-99.4</v>
      </c>
      <c r="G938" s="313">
        <v>102310.17</v>
      </c>
      <c r="H938" s="313">
        <v>92528.2</v>
      </c>
    </row>
    <row r="939" spans="1:8" x14ac:dyDescent="0.2">
      <c r="A939" s="313">
        <v>1938000422</v>
      </c>
      <c r="B939" s="313" t="s">
        <v>893</v>
      </c>
      <c r="C939" s="314">
        <v>11000</v>
      </c>
      <c r="D939" s="313">
        <v>11000</v>
      </c>
      <c r="E939" s="313">
        <v>9503.01</v>
      </c>
      <c r="F939" s="313">
        <v>-1496.99</v>
      </c>
      <c r="G939" s="313">
        <v>12290.01</v>
      </c>
      <c r="H939" s="313">
        <v>11792.32</v>
      </c>
    </row>
    <row r="940" spans="1:8" x14ac:dyDescent="0.2">
      <c r="A940" s="313">
        <v>1938000430</v>
      </c>
      <c r="B940" s="313" t="s">
        <v>839</v>
      </c>
      <c r="C940" s="314">
        <v>732451</v>
      </c>
      <c r="D940" s="313">
        <v>732451</v>
      </c>
      <c r="E940" s="313">
        <v>359620.19</v>
      </c>
      <c r="F940" s="313">
        <v>-372830.81</v>
      </c>
      <c r="G940" s="313">
        <v>734653.23</v>
      </c>
      <c r="H940" s="313">
        <v>669594.71</v>
      </c>
    </row>
    <row r="941" spans="1:8" x14ac:dyDescent="0.2">
      <c r="A941" s="313">
        <v>1938000450</v>
      </c>
      <c r="B941" s="313" t="s">
        <v>894</v>
      </c>
      <c r="C941" s="314">
        <v>18000</v>
      </c>
      <c r="D941" s="313">
        <v>18000</v>
      </c>
      <c r="E941" s="313">
        <v>4492.8</v>
      </c>
      <c r="F941" s="313">
        <v>-13507.2</v>
      </c>
      <c r="G941" s="313">
        <v>15000</v>
      </c>
      <c r="H941" s="313">
        <v>15889.1</v>
      </c>
    </row>
    <row r="942" spans="1:8" x14ac:dyDescent="0.2">
      <c r="A942" s="313">
        <v>1938000511</v>
      </c>
      <c r="B942" s="313" t="s">
        <v>895</v>
      </c>
      <c r="C942" s="314">
        <v>100000</v>
      </c>
      <c r="D942" s="313">
        <v>100000</v>
      </c>
      <c r="E942" s="313">
        <v>86776.65</v>
      </c>
      <c r="F942" s="313">
        <v>-13223.35</v>
      </c>
      <c r="G942" s="313">
        <v>98740.3</v>
      </c>
      <c r="H942" s="313">
        <v>96628.02</v>
      </c>
    </row>
    <row r="943" spans="1:8" x14ac:dyDescent="0.2">
      <c r="A943" s="313">
        <v>1938000530</v>
      </c>
      <c r="B943" s="313" t="s">
        <v>130</v>
      </c>
      <c r="E943" s="313">
        <v>792.65</v>
      </c>
      <c r="F943" s="313">
        <v>792.65</v>
      </c>
      <c r="G943" s="313">
        <v>32667.5</v>
      </c>
      <c r="H943" s="313">
        <v>59006.64</v>
      </c>
    </row>
    <row r="944" spans="1:8" x14ac:dyDescent="0.2">
      <c r="A944" s="313">
        <v>1938000540</v>
      </c>
      <c r="B944" s="313" t="s">
        <v>875</v>
      </c>
      <c r="C944" s="314">
        <v>515140</v>
      </c>
      <c r="D944" s="313">
        <v>515140</v>
      </c>
      <c r="E944" s="313">
        <v>407243.19</v>
      </c>
      <c r="F944" s="313">
        <v>-107896.81</v>
      </c>
      <c r="G944" s="313">
        <v>404930</v>
      </c>
      <c r="H944" s="313">
        <v>640099.64</v>
      </c>
    </row>
    <row r="945" spans="1:8" x14ac:dyDescent="0.2">
      <c r="A945" s="313">
        <v>1938000560</v>
      </c>
      <c r="B945" s="313" t="s">
        <v>664</v>
      </c>
      <c r="C945" s="314">
        <v>1000</v>
      </c>
      <c r="D945" s="313">
        <v>1000</v>
      </c>
      <c r="E945" s="313">
        <v>46.8</v>
      </c>
      <c r="F945" s="313">
        <v>-953.2</v>
      </c>
      <c r="G945" s="313">
        <v>1190.9000000000001</v>
      </c>
      <c r="H945" s="313">
        <v>2200</v>
      </c>
    </row>
    <row r="946" spans="1:8" x14ac:dyDescent="0.2">
      <c r="A946" s="313">
        <v>1938000570</v>
      </c>
      <c r="B946" s="313" t="s">
        <v>896</v>
      </c>
      <c r="C946" s="314">
        <v>87912</v>
      </c>
      <c r="D946" s="313">
        <v>87912</v>
      </c>
      <c r="E946" s="313">
        <v>61868.23</v>
      </c>
      <c r="F946" s="313">
        <v>-26043.77</v>
      </c>
      <c r="G946" s="313">
        <v>91631.58</v>
      </c>
      <c r="H946" s="313">
        <v>84503.3</v>
      </c>
    </row>
    <row r="947" spans="1:8" x14ac:dyDescent="0.2">
      <c r="A947" s="313">
        <v>1938000571</v>
      </c>
      <c r="B947" s="313" t="s">
        <v>897</v>
      </c>
      <c r="C947" s="314">
        <v>318504</v>
      </c>
      <c r="D947" s="313">
        <v>318504</v>
      </c>
      <c r="E947" s="313">
        <v>194364.71</v>
      </c>
      <c r="F947" s="313">
        <v>-124139.29</v>
      </c>
      <c r="G947" s="313">
        <v>208531.83</v>
      </c>
      <c r="H947" s="313">
        <v>157636.57</v>
      </c>
    </row>
    <row r="948" spans="1:8" x14ac:dyDescent="0.2">
      <c r="A948" s="313">
        <v>1938000581</v>
      </c>
      <c r="B948" s="313" t="s">
        <v>1924</v>
      </c>
      <c r="C948" s="314">
        <v>540</v>
      </c>
      <c r="D948" s="313">
        <v>540</v>
      </c>
      <c r="E948" s="313">
        <v>0</v>
      </c>
      <c r="F948" s="313">
        <v>-540</v>
      </c>
    </row>
    <row r="949" spans="1:8" x14ac:dyDescent="0.2">
      <c r="A949" s="313">
        <v>1938000740</v>
      </c>
      <c r="B949" s="313" t="s">
        <v>737</v>
      </c>
      <c r="C949" s="314">
        <v>1000</v>
      </c>
      <c r="D949" s="313">
        <v>1000</v>
      </c>
      <c r="F949" s="313">
        <v>-1000</v>
      </c>
      <c r="G949" s="313">
        <v>2857</v>
      </c>
      <c r="H949" s="313">
        <v>2991.53</v>
      </c>
    </row>
    <row r="950" spans="1:8" x14ac:dyDescent="0.2">
      <c r="A950" s="313">
        <v>1938000750</v>
      </c>
      <c r="B950" s="313" t="s">
        <v>899</v>
      </c>
      <c r="C950" s="314">
        <v>389200</v>
      </c>
      <c r="D950" s="313">
        <v>389200</v>
      </c>
      <c r="E950" s="313">
        <v>249406</v>
      </c>
      <c r="F950" s="313">
        <v>-139794</v>
      </c>
      <c r="G950" s="313">
        <v>357348</v>
      </c>
      <c r="H950" s="313">
        <v>354543</v>
      </c>
    </row>
    <row r="951" spans="1:8" x14ac:dyDescent="0.2">
      <c r="A951" s="313">
        <v>1938000751</v>
      </c>
      <c r="B951" s="313" t="s">
        <v>714</v>
      </c>
      <c r="C951" s="314">
        <v>17500</v>
      </c>
      <c r="D951" s="313">
        <v>17500</v>
      </c>
      <c r="E951" s="313">
        <v>14471.73</v>
      </c>
      <c r="F951" s="313">
        <v>-3028.27</v>
      </c>
      <c r="G951" s="313">
        <v>12000</v>
      </c>
      <c r="H951" s="313">
        <v>12591.33</v>
      </c>
    </row>
    <row r="952" spans="1:8" x14ac:dyDescent="0.2">
      <c r="A952" s="313">
        <v>1938000752</v>
      </c>
      <c r="B952" s="313" t="s">
        <v>1629</v>
      </c>
      <c r="C952" s="314">
        <v>232416</v>
      </c>
      <c r="D952" s="313">
        <v>232416</v>
      </c>
      <c r="E952" s="313">
        <v>197374</v>
      </c>
      <c r="F952" s="313">
        <v>-35042</v>
      </c>
      <c r="G952" s="313">
        <v>262353</v>
      </c>
    </row>
    <row r="953" spans="1:8" x14ac:dyDescent="0.2">
      <c r="A953" s="313">
        <v>1938000760</v>
      </c>
      <c r="B953" s="313" t="s">
        <v>900</v>
      </c>
      <c r="C953" s="314">
        <v>18900</v>
      </c>
      <c r="D953" s="313">
        <v>18900</v>
      </c>
      <c r="E953" s="313">
        <v>10645.55</v>
      </c>
      <c r="F953" s="313">
        <v>-8254.4500000000007</v>
      </c>
      <c r="G953" s="313">
        <v>18899.27</v>
      </c>
      <c r="H953" s="313">
        <v>18919.88</v>
      </c>
    </row>
    <row r="954" spans="1:8" x14ac:dyDescent="0.2">
      <c r="A954" s="313">
        <v>1938000780</v>
      </c>
      <c r="B954" s="313" t="s">
        <v>580</v>
      </c>
      <c r="C954" s="314">
        <v>17000</v>
      </c>
      <c r="D954" s="313">
        <v>17000</v>
      </c>
      <c r="E954" s="313">
        <v>2180.1799999999998</v>
      </c>
      <c r="F954" s="313">
        <v>-14819.82</v>
      </c>
      <c r="G954" s="313">
        <v>42606.91</v>
      </c>
      <c r="H954" s="313">
        <v>60064.97</v>
      </c>
    </row>
    <row r="955" spans="1:8" x14ac:dyDescent="0.2">
      <c r="A955" s="313">
        <v>1938000910</v>
      </c>
      <c r="B955" s="313" t="s">
        <v>901</v>
      </c>
      <c r="C955" s="314">
        <v>0</v>
      </c>
      <c r="D955" s="313">
        <v>0</v>
      </c>
      <c r="H955" s="313">
        <v>120000</v>
      </c>
    </row>
    <row r="956" spans="1:8" x14ac:dyDescent="0.2">
      <c r="A956" s="313">
        <v>1938000980</v>
      </c>
      <c r="B956" s="313" t="s">
        <v>580</v>
      </c>
      <c r="C956" s="314">
        <v>95000</v>
      </c>
      <c r="D956" s="313">
        <v>95000</v>
      </c>
      <c r="E956" s="313">
        <v>51642.07</v>
      </c>
      <c r="F956" s="313">
        <v>-43357.93</v>
      </c>
      <c r="G956" s="313">
        <v>75815.78</v>
      </c>
      <c r="H956" s="313">
        <v>77529.98</v>
      </c>
    </row>
    <row r="957" spans="1:8" x14ac:dyDescent="0.2">
      <c r="A957" s="313">
        <v>1938001731</v>
      </c>
      <c r="B957" s="313" t="s">
        <v>1925</v>
      </c>
      <c r="C957" s="314">
        <v>15829</v>
      </c>
      <c r="D957" s="313">
        <v>15829</v>
      </c>
      <c r="E957" s="313">
        <v>7432.71</v>
      </c>
      <c r="F957" s="313">
        <v>-8396.2900000000009</v>
      </c>
      <c r="G957" s="313">
        <v>8383.51</v>
      </c>
      <c r="H957" s="313">
        <v>16442.060000000001</v>
      </c>
    </row>
    <row r="958" spans="1:8" x14ac:dyDescent="0.2">
      <c r="A958" s="313">
        <v>1938100560</v>
      </c>
      <c r="B958" s="313" t="s">
        <v>820</v>
      </c>
      <c r="H958" s="313">
        <v>1263.5999999999999</v>
      </c>
    </row>
    <row r="959" spans="1:8" x14ac:dyDescent="0.2">
      <c r="A959" s="313">
        <v>1938100780</v>
      </c>
      <c r="B959" s="313" t="s">
        <v>580</v>
      </c>
      <c r="C959" s="314">
        <v>1800</v>
      </c>
      <c r="D959" s="313">
        <v>1800</v>
      </c>
      <c r="E959" s="313">
        <v>1073.57</v>
      </c>
      <c r="F959" s="313">
        <v>-726.43</v>
      </c>
      <c r="G959" s="313">
        <v>1368.59</v>
      </c>
      <c r="H959" s="313">
        <v>2616.2399999999998</v>
      </c>
    </row>
    <row r="960" spans="1:8" x14ac:dyDescent="0.2">
      <c r="A960" s="313">
        <v>1939000410</v>
      </c>
      <c r="B960" s="313" t="s">
        <v>902</v>
      </c>
      <c r="C960" s="314">
        <v>371000</v>
      </c>
      <c r="D960" s="313">
        <v>371000</v>
      </c>
      <c r="E960" s="313">
        <v>246264.94</v>
      </c>
      <c r="F960" s="313">
        <v>-124735.06</v>
      </c>
      <c r="G960" s="313">
        <v>385570.61</v>
      </c>
      <c r="H960" s="313">
        <v>341705.13</v>
      </c>
    </row>
    <row r="961" spans="1:8" x14ac:dyDescent="0.2">
      <c r="A961" s="313">
        <v>1939000511</v>
      </c>
      <c r="B961" s="313" t="s">
        <v>220</v>
      </c>
      <c r="C961" s="314">
        <v>1000</v>
      </c>
      <c r="D961" s="313">
        <v>1000</v>
      </c>
      <c r="E961" s="313">
        <v>398.52</v>
      </c>
      <c r="F961" s="313">
        <v>-601.48</v>
      </c>
    </row>
    <row r="962" spans="1:8" x14ac:dyDescent="0.2">
      <c r="A962" s="313">
        <v>1939000560</v>
      </c>
      <c r="B962" s="313" t="s">
        <v>820</v>
      </c>
      <c r="C962" s="314">
        <v>405</v>
      </c>
      <c r="D962" s="313">
        <v>405</v>
      </c>
      <c r="E962" s="313">
        <v>341.41</v>
      </c>
      <c r="F962" s="313">
        <v>-63.59</v>
      </c>
      <c r="G962" s="313">
        <v>2153.7199999999998</v>
      </c>
      <c r="H962" s="313">
        <v>284.7</v>
      </c>
    </row>
    <row r="963" spans="1:8" x14ac:dyDescent="0.2">
      <c r="A963" s="313">
        <v>1939000570</v>
      </c>
      <c r="B963" s="313" t="s">
        <v>1666</v>
      </c>
      <c r="C963" s="314">
        <v>2808</v>
      </c>
      <c r="D963" s="313">
        <v>2808</v>
      </c>
      <c r="E963" s="313">
        <v>1916.08</v>
      </c>
      <c r="F963" s="313">
        <v>-891.92</v>
      </c>
    </row>
    <row r="964" spans="1:8" x14ac:dyDescent="0.2">
      <c r="A964" s="313">
        <v>1939000581</v>
      </c>
      <c r="B964" s="313" t="s">
        <v>1926</v>
      </c>
      <c r="C964" s="314">
        <v>780</v>
      </c>
      <c r="D964" s="313">
        <v>780</v>
      </c>
      <c r="E964" s="313">
        <v>588.94000000000005</v>
      </c>
      <c r="F964" s="313">
        <v>-191.06</v>
      </c>
    </row>
    <row r="965" spans="1:8" x14ac:dyDescent="0.2">
      <c r="A965" s="313">
        <v>1939000730</v>
      </c>
      <c r="B965" s="313" t="s">
        <v>903</v>
      </c>
      <c r="C965" s="314">
        <v>50000</v>
      </c>
      <c r="D965" s="313">
        <v>50000</v>
      </c>
      <c r="E965" s="313">
        <v>51216.52</v>
      </c>
      <c r="F965" s="313">
        <v>1216.52</v>
      </c>
      <c r="G965" s="313">
        <v>25649.5</v>
      </c>
      <c r="H965" s="313">
        <v>30933.49</v>
      </c>
    </row>
    <row r="966" spans="1:8" x14ac:dyDescent="0.2">
      <c r="A966" s="313">
        <v>1939000731</v>
      </c>
      <c r="B966" s="313" t="s">
        <v>221</v>
      </c>
      <c r="C966" s="314">
        <v>41777</v>
      </c>
      <c r="D966" s="313">
        <v>41777</v>
      </c>
      <c r="E966" s="313">
        <v>18627.560000000001</v>
      </c>
      <c r="F966" s="313">
        <v>-23149.439999999999</v>
      </c>
      <c r="G966" s="313">
        <v>185911.95</v>
      </c>
      <c r="H966" s="313">
        <v>267433.48</v>
      </c>
    </row>
    <row r="967" spans="1:8" x14ac:dyDescent="0.2">
      <c r="A967" s="313">
        <v>1939000750</v>
      </c>
      <c r="B967" s="313" t="s">
        <v>1551</v>
      </c>
      <c r="C967" s="314">
        <v>301860</v>
      </c>
      <c r="D967" s="313">
        <v>301860</v>
      </c>
      <c r="E967" s="313">
        <v>253772.7</v>
      </c>
      <c r="F967" s="313">
        <v>-48087.3</v>
      </c>
      <c r="G967" s="313">
        <v>199978.29</v>
      </c>
      <c r="H967" s="313">
        <v>28958</v>
      </c>
    </row>
    <row r="968" spans="1:8" x14ac:dyDescent="0.2">
      <c r="A968" s="313">
        <v>1939000751</v>
      </c>
      <c r="B968" s="313" t="s">
        <v>714</v>
      </c>
      <c r="G968" s="313">
        <v>117473</v>
      </c>
    </row>
    <row r="969" spans="1:8" x14ac:dyDescent="0.2">
      <c r="A969" s="313">
        <v>1939000780</v>
      </c>
      <c r="B969" s="313" t="s">
        <v>580</v>
      </c>
      <c r="C969" s="314">
        <v>2350</v>
      </c>
      <c r="D969" s="313">
        <v>2350</v>
      </c>
      <c r="E969" s="313">
        <v>77.22</v>
      </c>
      <c r="F969" s="313">
        <v>-2272.7800000000002</v>
      </c>
      <c r="G969" s="313">
        <v>4403.88</v>
      </c>
      <c r="H969" s="313">
        <v>311.52</v>
      </c>
    </row>
    <row r="970" spans="1:8" x14ac:dyDescent="0.2">
      <c r="A970" s="313">
        <v>1939000910</v>
      </c>
      <c r="B970" s="313" t="s">
        <v>1630</v>
      </c>
      <c r="C970" s="314">
        <v>74500</v>
      </c>
      <c r="D970" s="313">
        <v>74500</v>
      </c>
      <c r="E970" s="313">
        <v>74500</v>
      </c>
      <c r="G970" s="313">
        <v>54500</v>
      </c>
    </row>
    <row r="971" spans="1:8" x14ac:dyDescent="0.2">
      <c r="A971" s="313">
        <v>1939000980</v>
      </c>
      <c r="B971" s="313" t="s">
        <v>580</v>
      </c>
      <c r="C971" s="314">
        <v>26500</v>
      </c>
      <c r="D971" s="313">
        <v>26500</v>
      </c>
      <c r="E971" s="313">
        <v>25187.62</v>
      </c>
      <c r="F971" s="313">
        <v>-1312.38</v>
      </c>
      <c r="G971" s="313">
        <v>21057.599999999999</v>
      </c>
      <c r="H971" s="313">
        <v>5862.5</v>
      </c>
    </row>
    <row r="972" spans="1:8" x14ac:dyDescent="0.2">
      <c r="A972" s="313">
        <v>1939001731</v>
      </c>
      <c r="B972" s="313" t="s">
        <v>221</v>
      </c>
      <c r="H972" s="313">
        <v>936</v>
      </c>
    </row>
    <row r="973" spans="1:8" x14ac:dyDescent="0.2">
      <c r="A973" s="313">
        <v>1939002530</v>
      </c>
      <c r="B973" s="313" t="s">
        <v>1631</v>
      </c>
      <c r="E973" s="313">
        <v>466.35</v>
      </c>
      <c r="F973" s="313">
        <v>466.35</v>
      </c>
      <c r="G973" s="313">
        <v>18666.5</v>
      </c>
      <c r="H973" s="313">
        <v>87224.4</v>
      </c>
    </row>
    <row r="974" spans="1:8" x14ac:dyDescent="0.2">
      <c r="A974" s="313">
        <v>1939003530</v>
      </c>
      <c r="B974" s="313" t="s">
        <v>1632</v>
      </c>
      <c r="G974" s="313">
        <v>14513.37</v>
      </c>
      <c r="H974" s="313">
        <v>54253.32</v>
      </c>
    </row>
    <row r="975" spans="1:8" x14ac:dyDescent="0.2">
      <c r="A975" s="313">
        <v>1939003731</v>
      </c>
      <c r="B975" s="313" t="s">
        <v>905</v>
      </c>
      <c r="C975" s="314">
        <v>7406</v>
      </c>
      <c r="D975" s="313">
        <v>7406</v>
      </c>
      <c r="E975" s="313">
        <v>2124.91</v>
      </c>
      <c r="F975" s="313">
        <v>-5281.09</v>
      </c>
      <c r="G975" s="313">
        <v>12653.96</v>
      </c>
      <c r="H975" s="313">
        <v>4767.4399999999996</v>
      </c>
    </row>
    <row r="976" spans="1:8" x14ac:dyDescent="0.2">
      <c r="A976" s="313">
        <v>1939004731</v>
      </c>
      <c r="B976" s="313" t="s">
        <v>906</v>
      </c>
      <c r="C976" s="314">
        <v>46477</v>
      </c>
      <c r="D976" s="313">
        <v>46477</v>
      </c>
      <c r="E976" s="313">
        <v>44809.9</v>
      </c>
      <c r="F976" s="313">
        <v>-1667.1</v>
      </c>
      <c r="G976" s="313">
        <v>42432.5</v>
      </c>
      <c r="H976" s="313">
        <v>54896.03</v>
      </c>
    </row>
    <row r="977" spans="1:8" x14ac:dyDescent="0.2">
      <c r="A977" s="313">
        <v>1939006731</v>
      </c>
      <c r="B977" s="313" t="s">
        <v>907</v>
      </c>
      <c r="C977" s="314">
        <v>1647</v>
      </c>
      <c r="D977" s="313">
        <v>1647</v>
      </c>
      <c r="E977" s="313">
        <v>767</v>
      </c>
      <c r="F977" s="313">
        <v>-880</v>
      </c>
      <c r="G977" s="313">
        <v>1217</v>
      </c>
      <c r="H977" s="313">
        <v>2220</v>
      </c>
    </row>
    <row r="978" spans="1:8" x14ac:dyDescent="0.2">
      <c r="A978" s="313">
        <v>1939009731</v>
      </c>
      <c r="B978" s="313" t="s">
        <v>131</v>
      </c>
      <c r="H978" s="313">
        <v>18553.12</v>
      </c>
    </row>
    <row r="979" spans="1:8" x14ac:dyDescent="0.2">
      <c r="A979" s="313">
        <v>1939011731</v>
      </c>
      <c r="B979" s="313" t="s">
        <v>908</v>
      </c>
      <c r="C979" s="314">
        <v>1647</v>
      </c>
      <c r="D979" s="313">
        <v>1647</v>
      </c>
      <c r="E979" s="313">
        <v>3350.67</v>
      </c>
      <c r="F979" s="313">
        <v>1703.67</v>
      </c>
      <c r="G979" s="313">
        <v>2200.75</v>
      </c>
      <c r="H979" s="313">
        <v>1865.3</v>
      </c>
    </row>
    <row r="980" spans="1:8" x14ac:dyDescent="0.2">
      <c r="A980" s="313">
        <v>1939012731</v>
      </c>
      <c r="B980" s="313" t="s">
        <v>909</v>
      </c>
      <c r="C980" s="314">
        <v>1647</v>
      </c>
      <c r="D980" s="313">
        <v>1647</v>
      </c>
      <c r="E980" s="313">
        <v>839</v>
      </c>
      <c r="F980" s="313">
        <v>-808</v>
      </c>
      <c r="G980" s="313">
        <v>1268</v>
      </c>
      <c r="H980" s="313">
        <v>1146</v>
      </c>
    </row>
    <row r="981" spans="1:8" x14ac:dyDescent="0.2">
      <c r="A981" s="313">
        <v>1939013731</v>
      </c>
      <c r="B981" s="313" t="s">
        <v>910</v>
      </c>
      <c r="C981" s="314">
        <v>27609</v>
      </c>
      <c r="D981" s="313">
        <v>27609</v>
      </c>
      <c r="E981" s="313">
        <v>23077.89</v>
      </c>
      <c r="F981" s="313">
        <v>-4531.1099999999997</v>
      </c>
      <c r="G981" s="313">
        <v>13491.36</v>
      </c>
      <c r="H981" s="313">
        <v>14058.38</v>
      </c>
    </row>
    <row r="982" spans="1:8" x14ac:dyDescent="0.2">
      <c r="A982" s="313">
        <v>1939014530</v>
      </c>
      <c r="B982" s="313" t="s">
        <v>1471</v>
      </c>
      <c r="C982" s="314">
        <v>53030</v>
      </c>
      <c r="D982" s="313">
        <v>53030</v>
      </c>
      <c r="E982" s="313">
        <v>53431.69</v>
      </c>
      <c r="F982" s="313">
        <v>401.69</v>
      </c>
      <c r="G982" s="313">
        <v>94526.51</v>
      </c>
      <c r="H982" s="313">
        <v>97661.2</v>
      </c>
    </row>
    <row r="983" spans="1:8" x14ac:dyDescent="0.2">
      <c r="A983" s="313">
        <v>1939015731</v>
      </c>
      <c r="B983" s="313" t="s">
        <v>1470</v>
      </c>
      <c r="G983" s="313">
        <v>2217.11</v>
      </c>
      <c r="H983" s="313">
        <v>6498.97</v>
      </c>
    </row>
    <row r="984" spans="1:8" x14ac:dyDescent="0.2">
      <c r="A984" s="313">
        <v>1939016731</v>
      </c>
      <c r="B984" s="313" t="s">
        <v>1928</v>
      </c>
      <c r="C984" s="314">
        <v>47824</v>
      </c>
      <c r="D984" s="313">
        <v>47824</v>
      </c>
      <c r="E984" s="313">
        <v>15721.47</v>
      </c>
      <c r="F984" s="313">
        <v>-32102.53</v>
      </c>
    </row>
    <row r="985" spans="1:8" x14ac:dyDescent="0.2">
      <c r="A985" s="313">
        <v>1939019731</v>
      </c>
      <c r="B985" s="313" t="s">
        <v>810</v>
      </c>
      <c r="C985" s="314">
        <v>44970</v>
      </c>
      <c r="D985" s="313">
        <v>44970</v>
      </c>
      <c r="E985" s="313">
        <v>40025.31</v>
      </c>
      <c r="F985" s="313">
        <v>-4944.6899999999996</v>
      </c>
      <c r="G985" s="313">
        <v>39337.660000000003</v>
      </c>
      <c r="H985" s="313">
        <v>45531.88</v>
      </c>
    </row>
    <row r="986" spans="1:8" x14ac:dyDescent="0.2">
      <c r="A986" s="313">
        <v>1939033731</v>
      </c>
      <c r="B986" s="313" t="s">
        <v>1469</v>
      </c>
      <c r="C986" s="314">
        <v>1647</v>
      </c>
      <c r="D986" s="313">
        <v>1647</v>
      </c>
      <c r="E986" s="313">
        <v>1258.5</v>
      </c>
      <c r="F986" s="313">
        <v>-388.5</v>
      </c>
      <c r="G986" s="313">
        <v>2929</v>
      </c>
      <c r="H986" s="313">
        <v>801</v>
      </c>
    </row>
    <row r="987" spans="1:8" x14ac:dyDescent="0.2">
      <c r="A987" s="313">
        <v>1939043731</v>
      </c>
      <c r="B987" s="313" t="s">
        <v>1468</v>
      </c>
      <c r="E987" s="313">
        <v>553</v>
      </c>
      <c r="F987" s="313">
        <v>553</v>
      </c>
      <c r="G987" s="313">
        <v>12857.15</v>
      </c>
      <c r="H987" s="313">
        <v>8192.24</v>
      </c>
    </row>
    <row r="988" spans="1:8" x14ac:dyDescent="0.2">
      <c r="A988" s="313">
        <v>1939100730</v>
      </c>
      <c r="B988" s="313" t="s">
        <v>1466</v>
      </c>
      <c r="C988" s="314">
        <v>18000</v>
      </c>
      <c r="D988" s="313">
        <v>18000</v>
      </c>
      <c r="E988" s="313">
        <v>19821</v>
      </c>
      <c r="F988" s="313">
        <v>1821</v>
      </c>
      <c r="G988" s="313">
        <v>11612.4</v>
      </c>
      <c r="H988" s="313">
        <v>9955</v>
      </c>
    </row>
    <row r="989" spans="1:8" x14ac:dyDescent="0.2">
      <c r="A989" s="313">
        <v>1939111731</v>
      </c>
      <c r="B989" s="313" t="s">
        <v>225</v>
      </c>
      <c r="H989" s="313">
        <v>54506</v>
      </c>
    </row>
    <row r="990" spans="1:8" x14ac:dyDescent="0.2">
      <c r="A990" s="313">
        <v>1939200731</v>
      </c>
      <c r="B990" s="313" t="s">
        <v>1331</v>
      </c>
      <c r="C990" s="314">
        <v>3947</v>
      </c>
      <c r="D990" s="313">
        <v>3947</v>
      </c>
      <c r="E990" s="313">
        <v>667</v>
      </c>
      <c r="F990" s="313">
        <v>-3280</v>
      </c>
      <c r="G990" s="313">
        <v>976</v>
      </c>
      <c r="H990" s="313">
        <v>245</v>
      </c>
    </row>
    <row r="991" spans="1:8" x14ac:dyDescent="0.2">
      <c r="A991" s="313">
        <v>1939300731</v>
      </c>
      <c r="B991" s="313" t="s">
        <v>1648</v>
      </c>
      <c r="C991" s="314">
        <v>106421</v>
      </c>
      <c r="D991" s="313">
        <v>106421</v>
      </c>
      <c r="E991" s="313">
        <v>107820.15</v>
      </c>
      <c r="F991" s="313">
        <v>1399.15</v>
      </c>
    </row>
    <row r="992" spans="1:8" x14ac:dyDescent="0.2">
      <c r="A992" s="313">
        <v>1972000750</v>
      </c>
      <c r="B992" s="313" t="s">
        <v>912</v>
      </c>
      <c r="C992" s="314">
        <v>110000</v>
      </c>
      <c r="D992" s="313">
        <v>110000</v>
      </c>
      <c r="E992" s="313">
        <v>98952.76</v>
      </c>
      <c r="F992" s="313">
        <v>-11047.24</v>
      </c>
      <c r="G992" s="313">
        <v>109693.09</v>
      </c>
      <c r="H992" s="313">
        <v>98859.09</v>
      </c>
    </row>
    <row r="993" spans="1:8" x14ac:dyDescent="0.2">
      <c r="A993" s="313">
        <v>1972000770</v>
      </c>
      <c r="B993" s="313" t="s">
        <v>740</v>
      </c>
      <c r="C993" s="314">
        <v>13000</v>
      </c>
      <c r="D993" s="313">
        <v>13000</v>
      </c>
      <c r="E993" s="313">
        <v>2695.41</v>
      </c>
      <c r="F993" s="313">
        <v>-10304.59</v>
      </c>
      <c r="G993" s="313">
        <v>10938.53</v>
      </c>
      <c r="H993" s="313">
        <v>13735.29</v>
      </c>
    </row>
    <row r="994" spans="1:8" x14ac:dyDescent="0.2">
      <c r="A994" s="313">
        <v>1972000780</v>
      </c>
      <c r="B994" s="313" t="s">
        <v>913</v>
      </c>
      <c r="H994" s="313">
        <v>1136.4000000000001</v>
      </c>
    </row>
    <row r="995" spans="1:8" x14ac:dyDescent="0.2">
      <c r="A995" s="313" t="s">
        <v>277</v>
      </c>
      <c r="B995" s="313" t="s">
        <v>543</v>
      </c>
      <c r="C995" s="314">
        <v>94154866</v>
      </c>
      <c r="D995" s="313">
        <v>94148008.049999997</v>
      </c>
      <c r="E995" s="313">
        <v>69496737.459999993</v>
      </c>
      <c r="F995" s="313">
        <v>-24651270.59</v>
      </c>
      <c r="G995" s="313">
        <v>91056619.5</v>
      </c>
      <c r="H995" s="313">
        <v>85917022.799999997</v>
      </c>
    </row>
    <row r="996" spans="1:8" x14ac:dyDescent="0.2">
      <c r="A996" s="313" t="s">
        <v>277</v>
      </c>
      <c r="B996" s="313" t="s">
        <v>508</v>
      </c>
      <c r="C996" s="314">
        <v>176874797</v>
      </c>
      <c r="D996" s="313">
        <v>176867939.05000001</v>
      </c>
      <c r="E996" s="313">
        <v>139237462.25</v>
      </c>
      <c r="F996" s="313">
        <v>-37630476.799999997</v>
      </c>
      <c r="G996" s="313">
        <v>170116570.38999999</v>
      </c>
      <c r="H996" s="313">
        <v>168883783.90000001</v>
      </c>
    </row>
    <row r="997" spans="1:8" x14ac:dyDescent="0.2">
      <c r="A997" s="313" t="s">
        <v>281</v>
      </c>
      <c r="B997" s="313" t="s">
        <v>916</v>
      </c>
    </row>
    <row r="998" spans="1:8" x14ac:dyDescent="0.2">
      <c r="A998" s="313" t="s">
        <v>917</v>
      </c>
      <c r="B998" s="313" t="s">
        <v>918</v>
      </c>
    </row>
    <row r="999" spans="1:8" x14ac:dyDescent="0.2">
      <c r="A999" s="313">
        <v>1812200110</v>
      </c>
      <c r="B999" s="313" t="s">
        <v>126</v>
      </c>
      <c r="C999" s="314">
        <v>257081</v>
      </c>
      <c r="D999" s="313">
        <v>257081</v>
      </c>
      <c r="E999" s="313">
        <v>229158.01</v>
      </c>
      <c r="F999" s="313">
        <v>-27922.99</v>
      </c>
      <c r="G999" s="313">
        <v>225005.28</v>
      </c>
      <c r="H999" s="313">
        <v>200056.65</v>
      </c>
    </row>
    <row r="1000" spans="1:8" x14ac:dyDescent="0.2">
      <c r="A1000" s="313">
        <v>1812200210</v>
      </c>
      <c r="B1000" s="313" t="s">
        <v>920</v>
      </c>
      <c r="G1000" s="313">
        <v>29239.49</v>
      </c>
      <c r="H1000" s="313">
        <v>66682.47</v>
      </c>
    </row>
    <row r="1001" spans="1:8" x14ac:dyDescent="0.2">
      <c r="A1001" s="313">
        <v>1812210110</v>
      </c>
      <c r="B1001" s="313" t="s">
        <v>921</v>
      </c>
      <c r="C1001" s="314">
        <v>6826562</v>
      </c>
      <c r="D1001" s="313">
        <v>6826562</v>
      </c>
      <c r="E1001" s="313">
        <v>6221510.8200000003</v>
      </c>
      <c r="F1001" s="313">
        <v>-605051.18000000005</v>
      </c>
      <c r="G1001" s="313">
        <v>6297882.5599999996</v>
      </c>
      <c r="H1001" s="313">
        <v>5802388.8399999999</v>
      </c>
    </row>
    <row r="1002" spans="1:8" x14ac:dyDescent="0.2">
      <c r="A1002" s="313">
        <v>1812210210</v>
      </c>
      <c r="B1002" s="313" t="s">
        <v>922</v>
      </c>
      <c r="C1002" s="314">
        <v>7057668</v>
      </c>
      <c r="D1002" s="313">
        <v>7057668</v>
      </c>
      <c r="E1002" s="313">
        <v>5469488.9000000004</v>
      </c>
      <c r="F1002" s="313">
        <v>-1588179.1</v>
      </c>
      <c r="G1002" s="313">
        <v>6614643.04</v>
      </c>
      <c r="H1002" s="313">
        <v>4558569.55</v>
      </c>
    </row>
    <row r="1003" spans="1:8" x14ac:dyDescent="0.2">
      <c r="A1003" s="313">
        <v>1812800210</v>
      </c>
      <c r="B1003" s="313" t="s">
        <v>1157</v>
      </c>
      <c r="H1003" s="313">
        <v>8261.7800000000007</v>
      </c>
    </row>
    <row r="1004" spans="1:8" x14ac:dyDescent="0.2">
      <c r="A1004" s="313">
        <v>1813204110</v>
      </c>
      <c r="B1004" s="313" t="s">
        <v>923</v>
      </c>
      <c r="C1004" s="314">
        <v>1446793</v>
      </c>
      <c r="D1004" s="313">
        <v>1446793</v>
      </c>
      <c r="E1004" s="313">
        <v>1275092.9099999999</v>
      </c>
      <c r="F1004" s="313">
        <v>-171700.09</v>
      </c>
      <c r="G1004" s="313">
        <v>1358529.9</v>
      </c>
      <c r="H1004" s="313">
        <v>1355292.05</v>
      </c>
    </row>
    <row r="1005" spans="1:8" x14ac:dyDescent="0.2">
      <c r="A1005" s="313">
        <v>1813204210</v>
      </c>
      <c r="B1005" s="313" t="s">
        <v>919</v>
      </c>
      <c r="G1005" s="313">
        <v>1545.81</v>
      </c>
      <c r="H1005" s="313">
        <v>29291.45</v>
      </c>
    </row>
    <row r="1006" spans="1:8" x14ac:dyDescent="0.2">
      <c r="A1006" s="313">
        <v>1813205110</v>
      </c>
      <c r="B1006" s="313" t="s">
        <v>924</v>
      </c>
      <c r="C1006" s="314">
        <v>1668952</v>
      </c>
      <c r="D1006" s="313">
        <v>1668952</v>
      </c>
      <c r="E1006" s="313">
        <v>1530294.59</v>
      </c>
      <c r="F1006" s="313">
        <v>-138657.41</v>
      </c>
      <c r="G1006" s="313">
        <v>1460967.97</v>
      </c>
      <c r="H1006" s="313">
        <v>1310557.33</v>
      </c>
    </row>
    <row r="1007" spans="1:8" x14ac:dyDescent="0.2">
      <c r="A1007" s="313">
        <v>1813205210</v>
      </c>
      <c r="B1007" s="313" t="s">
        <v>925</v>
      </c>
      <c r="H1007" s="313">
        <v>48805.31</v>
      </c>
    </row>
    <row r="1008" spans="1:8" x14ac:dyDescent="0.2">
      <c r="A1008" s="313">
        <v>1813211110</v>
      </c>
      <c r="B1008" s="313" t="s">
        <v>926</v>
      </c>
      <c r="C1008" s="314">
        <v>144510</v>
      </c>
      <c r="D1008" s="313">
        <v>144510</v>
      </c>
      <c r="E1008" s="313">
        <v>123339.77</v>
      </c>
      <c r="F1008" s="313">
        <v>-21170.23</v>
      </c>
      <c r="G1008" s="313">
        <v>114397.29</v>
      </c>
      <c r="H1008" s="313">
        <v>187684.66</v>
      </c>
    </row>
    <row r="1009" spans="1:8" x14ac:dyDescent="0.2">
      <c r="A1009" s="313">
        <v>1813213110</v>
      </c>
      <c r="B1009" s="313" t="s">
        <v>927</v>
      </c>
      <c r="C1009" s="314">
        <v>2449056</v>
      </c>
      <c r="D1009" s="313">
        <v>2449056</v>
      </c>
      <c r="E1009" s="313">
        <v>1902666.77</v>
      </c>
      <c r="F1009" s="313">
        <v>-546389.23</v>
      </c>
      <c r="G1009" s="313">
        <v>2187803.37</v>
      </c>
      <c r="H1009" s="313">
        <v>2001345.12</v>
      </c>
    </row>
    <row r="1010" spans="1:8" x14ac:dyDescent="0.2">
      <c r="A1010" s="313">
        <v>1813213210</v>
      </c>
      <c r="B1010" s="313" t="s">
        <v>928</v>
      </c>
      <c r="C1010" s="314">
        <v>2335909</v>
      </c>
      <c r="D1010" s="313">
        <v>2335909</v>
      </c>
      <c r="E1010" s="313">
        <v>2523966.06</v>
      </c>
      <c r="F1010" s="313">
        <v>188057.06</v>
      </c>
      <c r="G1010" s="313">
        <v>2272844.9700000002</v>
      </c>
      <c r="H1010" s="313">
        <v>1482415.13</v>
      </c>
    </row>
    <row r="1011" spans="1:8" x14ac:dyDescent="0.2">
      <c r="A1011" s="313">
        <v>1813214110</v>
      </c>
      <c r="B1011" s="313" t="s">
        <v>162</v>
      </c>
      <c r="C1011" s="314">
        <v>144954</v>
      </c>
      <c r="D1011" s="313">
        <v>144954</v>
      </c>
      <c r="E1011" s="313">
        <v>122767.18</v>
      </c>
      <c r="F1011" s="313">
        <v>-22186.82</v>
      </c>
      <c r="G1011" s="313">
        <v>140173.32999999999</v>
      </c>
      <c r="H1011" s="313">
        <v>155830.49</v>
      </c>
    </row>
    <row r="1012" spans="1:8" x14ac:dyDescent="0.2">
      <c r="A1012" s="313">
        <v>1813304110</v>
      </c>
      <c r="B1012" s="313" t="s">
        <v>919</v>
      </c>
      <c r="C1012" s="314">
        <v>265281</v>
      </c>
      <c r="D1012" s="313">
        <v>265281</v>
      </c>
      <c r="E1012" s="313">
        <v>263597.28000000003</v>
      </c>
      <c r="F1012" s="313">
        <v>-1683.72</v>
      </c>
      <c r="G1012" s="313">
        <v>257070.47</v>
      </c>
      <c r="H1012" s="313">
        <v>240401.99</v>
      </c>
    </row>
    <row r="1013" spans="1:8" x14ac:dyDescent="0.2">
      <c r="A1013" s="313">
        <v>1813305110</v>
      </c>
      <c r="B1013" s="313" t="s">
        <v>929</v>
      </c>
      <c r="C1013" s="314">
        <v>271252</v>
      </c>
      <c r="D1013" s="313">
        <v>271252</v>
      </c>
      <c r="E1013" s="313">
        <v>248467.24</v>
      </c>
      <c r="F1013" s="313">
        <v>-22784.76</v>
      </c>
      <c r="G1013" s="313">
        <v>254338.12</v>
      </c>
      <c r="H1013" s="313">
        <v>245186.34</v>
      </c>
    </row>
    <row r="1014" spans="1:8" x14ac:dyDescent="0.2">
      <c r="A1014" s="313">
        <v>1813313110</v>
      </c>
      <c r="B1014" s="313" t="s">
        <v>930</v>
      </c>
      <c r="C1014" s="314">
        <v>2386795</v>
      </c>
      <c r="D1014" s="313">
        <v>2386795</v>
      </c>
      <c r="E1014" s="313">
        <v>2350607.5299999998</v>
      </c>
      <c r="F1014" s="313">
        <v>-36187.47</v>
      </c>
      <c r="G1014" s="313">
        <v>2218361.06</v>
      </c>
      <c r="H1014" s="313">
        <v>1946328.31</v>
      </c>
    </row>
    <row r="1015" spans="1:8" x14ac:dyDescent="0.2">
      <c r="A1015" s="313">
        <v>1813313210</v>
      </c>
      <c r="B1015" s="313" t="s">
        <v>931</v>
      </c>
      <c r="C1015" s="314">
        <v>654850</v>
      </c>
      <c r="D1015" s="313">
        <v>654850</v>
      </c>
      <c r="E1015" s="313">
        <v>482763.6</v>
      </c>
      <c r="F1015" s="313">
        <v>-172086.39999999999</v>
      </c>
      <c r="G1015" s="313">
        <v>654418.11</v>
      </c>
      <c r="H1015" s="313">
        <v>670333.42000000004</v>
      </c>
    </row>
    <row r="1016" spans="1:8" x14ac:dyDescent="0.2">
      <c r="A1016" s="313">
        <v>1813705110</v>
      </c>
      <c r="B1016" s="313" t="s">
        <v>932</v>
      </c>
      <c r="C1016" s="314">
        <v>127329</v>
      </c>
      <c r="D1016" s="313">
        <v>127329</v>
      </c>
      <c r="E1016" s="313">
        <v>113087.83</v>
      </c>
      <c r="F1016" s="313">
        <v>-14241.17</v>
      </c>
      <c r="G1016" s="313">
        <v>126162.91</v>
      </c>
      <c r="H1016" s="313">
        <v>123735.03999999999</v>
      </c>
    </row>
    <row r="1017" spans="1:8" x14ac:dyDescent="0.2">
      <c r="A1017" s="313">
        <v>1815701110</v>
      </c>
      <c r="B1017" s="313" t="s">
        <v>163</v>
      </c>
      <c r="E1017" s="313">
        <v>3883.41</v>
      </c>
      <c r="F1017" s="313">
        <v>3883.41</v>
      </c>
      <c r="G1017" s="313">
        <v>0</v>
      </c>
    </row>
    <row r="1018" spans="1:8" x14ac:dyDescent="0.2">
      <c r="A1018" s="313">
        <v>1815788110</v>
      </c>
      <c r="B1018" s="313" t="s">
        <v>933</v>
      </c>
      <c r="H1018" s="313">
        <v>822.59</v>
      </c>
    </row>
    <row r="1019" spans="1:8" x14ac:dyDescent="0.2">
      <c r="A1019" s="313">
        <v>1817100110</v>
      </c>
      <c r="B1019" s="313" t="s">
        <v>934</v>
      </c>
      <c r="C1019" s="314">
        <v>262048</v>
      </c>
      <c r="D1019" s="313">
        <v>262048</v>
      </c>
      <c r="E1019" s="313">
        <v>148980.13</v>
      </c>
      <c r="F1019" s="313">
        <v>-113067.87</v>
      </c>
      <c r="G1019" s="313">
        <v>242706.62</v>
      </c>
      <c r="H1019" s="313">
        <v>120565.34</v>
      </c>
    </row>
    <row r="1020" spans="1:8" x14ac:dyDescent="0.2">
      <c r="A1020" s="313">
        <v>1817200110</v>
      </c>
      <c r="B1020" s="313" t="s">
        <v>1490</v>
      </c>
      <c r="C1020" s="314">
        <v>244498</v>
      </c>
      <c r="D1020" s="313">
        <v>244498</v>
      </c>
      <c r="E1020" s="313">
        <v>215620.44</v>
      </c>
      <c r="F1020" s="313">
        <v>-28877.56</v>
      </c>
      <c r="G1020" s="313">
        <v>240320.8</v>
      </c>
      <c r="H1020" s="313">
        <v>233921.85</v>
      </c>
    </row>
    <row r="1021" spans="1:8" x14ac:dyDescent="0.2">
      <c r="A1021" s="313">
        <v>1817300110</v>
      </c>
      <c r="B1021" s="313" t="s">
        <v>523</v>
      </c>
      <c r="C1021" s="314">
        <v>1951107</v>
      </c>
      <c r="D1021" s="313">
        <v>1951107</v>
      </c>
      <c r="E1021" s="313">
        <v>1930022.33</v>
      </c>
      <c r="F1021" s="313">
        <v>-21084.67</v>
      </c>
      <c r="G1021" s="313">
        <v>1894422.73</v>
      </c>
      <c r="H1021" s="313">
        <v>1879309.13</v>
      </c>
    </row>
    <row r="1022" spans="1:8" x14ac:dyDescent="0.2">
      <c r="A1022" s="313">
        <v>1817304110</v>
      </c>
      <c r="B1022" s="313" t="s">
        <v>936</v>
      </c>
      <c r="C1022" s="314">
        <v>200626</v>
      </c>
      <c r="D1022" s="313">
        <v>200626</v>
      </c>
      <c r="E1022" s="313">
        <v>178310.65</v>
      </c>
      <c r="F1022" s="313">
        <v>-22315.35</v>
      </c>
      <c r="G1022" s="313">
        <v>198275.19</v>
      </c>
      <c r="H1022" s="313">
        <v>195280.21</v>
      </c>
    </row>
    <row r="1023" spans="1:8" x14ac:dyDescent="0.2">
      <c r="A1023" s="313">
        <v>1817600110</v>
      </c>
      <c r="B1023" s="313" t="s">
        <v>523</v>
      </c>
      <c r="C1023" s="314">
        <v>364494</v>
      </c>
      <c r="D1023" s="313">
        <v>364494</v>
      </c>
      <c r="E1023" s="313">
        <v>315879.11</v>
      </c>
      <c r="F1023" s="313">
        <v>-48614.89</v>
      </c>
      <c r="G1023" s="313">
        <v>361532.79</v>
      </c>
      <c r="H1023" s="313">
        <v>360178.07</v>
      </c>
    </row>
    <row r="1024" spans="1:8" x14ac:dyDescent="0.2">
      <c r="A1024" s="313">
        <v>1817622210</v>
      </c>
      <c r="B1024" s="313" t="s">
        <v>938</v>
      </c>
      <c r="C1024" s="314">
        <v>63916</v>
      </c>
      <c r="D1024" s="313">
        <v>63916</v>
      </c>
      <c r="E1024" s="313">
        <v>301826.67</v>
      </c>
      <c r="F1024" s="313">
        <v>237910.67</v>
      </c>
      <c r="G1024" s="313">
        <v>71595.33</v>
      </c>
      <c r="H1024" s="313">
        <v>161438.82999999999</v>
      </c>
    </row>
    <row r="1025" spans="1:8" x14ac:dyDescent="0.2">
      <c r="A1025" s="313">
        <v>1817700110</v>
      </c>
      <c r="B1025" s="313" t="s">
        <v>939</v>
      </c>
      <c r="C1025" s="314">
        <v>857362</v>
      </c>
      <c r="D1025" s="313">
        <v>857362</v>
      </c>
      <c r="E1025" s="313">
        <v>754923.08</v>
      </c>
      <c r="F1025" s="313">
        <v>-102438.92</v>
      </c>
      <c r="G1025" s="313">
        <v>806268.81</v>
      </c>
      <c r="H1025" s="313">
        <v>801200.21</v>
      </c>
    </row>
    <row r="1026" spans="1:8" x14ac:dyDescent="0.2">
      <c r="A1026" s="313">
        <v>1817701110</v>
      </c>
      <c r="B1026" s="313" t="s">
        <v>940</v>
      </c>
      <c r="C1026" s="314">
        <v>185709</v>
      </c>
      <c r="D1026" s="313">
        <v>185709</v>
      </c>
      <c r="E1026" s="313">
        <v>161787.53</v>
      </c>
      <c r="F1026" s="313">
        <v>-23921.47</v>
      </c>
      <c r="G1026" s="313">
        <v>183813.03</v>
      </c>
      <c r="H1026" s="313">
        <v>181176.69</v>
      </c>
    </row>
    <row r="1027" spans="1:8" x14ac:dyDescent="0.2">
      <c r="A1027" s="313">
        <v>1817710110</v>
      </c>
      <c r="B1027" s="313" t="s">
        <v>941</v>
      </c>
      <c r="C1027" s="314">
        <v>15587</v>
      </c>
      <c r="D1027" s="313">
        <v>15587</v>
      </c>
      <c r="E1027" s="313">
        <v>15015.14</v>
      </c>
      <c r="F1027" s="313">
        <v>-571.86</v>
      </c>
      <c r="G1027" s="313">
        <v>15392.29</v>
      </c>
      <c r="H1027" s="313">
        <v>19544.8</v>
      </c>
    </row>
    <row r="1028" spans="1:8" x14ac:dyDescent="0.2">
      <c r="A1028" s="313">
        <v>1817711110</v>
      </c>
      <c r="B1028" s="313" t="s">
        <v>942</v>
      </c>
      <c r="E1028" s="313">
        <v>8921.07</v>
      </c>
      <c r="F1028" s="313">
        <v>8921.07</v>
      </c>
      <c r="H1028" s="313">
        <v>34123.56</v>
      </c>
    </row>
    <row r="1029" spans="1:8" x14ac:dyDescent="0.2">
      <c r="A1029" s="313">
        <v>1817727110</v>
      </c>
      <c r="B1029" s="313" t="s">
        <v>943</v>
      </c>
      <c r="C1029" s="314">
        <v>217125</v>
      </c>
      <c r="D1029" s="313">
        <v>217125</v>
      </c>
      <c r="E1029" s="313">
        <v>39624.85</v>
      </c>
      <c r="F1029" s="313">
        <v>-177500.15</v>
      </c>
      <c r="G1029" s="313">
        <v>7024.9</v>
      </c>
      <c r="H1029" s="313">
        <v>16355.59</v>
      </c>
    </row>
    <row r="1030" spans="1:8" x14ac:dyDescent="0.2">
      <c r="A1030" s="313">
        <v>1817728110</v>
      </c>
      <c r="B1030" s="313" t="s">
        <v>944</v>
      </c>
      <c r="E1030" s="313">
        <v>113718.26</v>
      </c>
      <c r="F1030" s="313">
        <v>113718.26</v>
      </c>
      <c r="G1030" s="313">
        <v>74408.649999999994</v>
      </c>
      <c r="H1030" s="313">
        <v>102337.8</v>
      </c>
    </row>
    <row r="1031" spans="1:8" x14ac:dyDescent="0.2">
      <c r="A1031" s="313">
        <v>1817800110</v>
      </c>
      <c r="B1031" s="313" t="s">
        <v>1159</v>
      </c>
      <c r="C1031" s="314">
        <v>34201</v>
      </c>
      <c r="D1031" s="313">
        <v>34201</v>
      </c>
      <c r="E1031" s="313">
        <v>14555.78</v>
      </c>
      <c r="F1031" s="313">
        <v>-19645.22</v>
      </c>
      <c r="G1031" s="313">
        <v>40174.410000000003</v>
      </c>
      <c r="H1031" s="313">
        <v>46763.040000000001</v>
      </c>
    </row>
    <row r="1032" spans="1:8" x14ac:dyDescent="0.2">
      <c r="A1032" s="313">
        <v>1817800210</v>
      </c>
      <c r="B1032" s="313" t="s">
        <v>945</v>
      </c>
      <c r="C1032" s="314">
        <v>2342345</v>
      </c>
      <c r="D1032" s="313">
        <v>2342345</v>
      </c>
      <c r="E1032" s="313">
        <v>1973351.74</v>
      </c>
      <c r="F1032" s="313">
        <v>-368993.26</v>
      </c>
      <c r="G1032" s="313">
        <v>2120088.2999999998</v>
      </c>
      <c r="H1032" s="313">
        <v>1910870.86</v>
      </c>
    </row>
    <row r="1033" spans="1:8" x14ac:dyDescent="0.2">
      <c r="A1033" s="313">
        <v>1817900110</v>
      </c>
      <c r="B1033" s="313" t="s">
        <v>523</v>
      </c>
      <c r="C1033" s="314">
        <v>177022</v>
      </c>
      <c r="D1033" s="313">
        <v>177022</v>
      </c>
      <c r="E1033" s="313">
        <v>163315.31</v>
      </c>
      <c r="F1033" s="313">
        <v>-13706.69</v>
      </c>
      <c r="G1033" s="313">
        <v>176249.66</v>
      </c>
      <c r="H1033" s="313">
        <v>171214.19</v>
      </c>
    </row>
    <row r="1034" spans="1:8" x14ac:dyDescent="0.2">
      <c r="A1034" s="313">
        <v>1817904110</v>
      </c>
      <c r="B1034" s="313" t="s">
        <v>946</v>
      </c>
      <c r="C1034" s="314">
        <v>189602</v>
      </c>
      <c r="D1034" s="313">
        <v>189602</v>
      </c>
      <c r="E1034" s="313">
        <v>164242.21</v>
      </c>
      <c r="F1034" s="313">
        <v>-25359.79</v>
      </c>
      <c r="G1034" s="313">
        <v>180625.68</v>
      </c>
      <c r="H1034" s="313">
        <v>170646.21</v>
      </c>
    </row>
    <row r="1035" spans="1:8" x14ac:dyDescent="0.2">
      <c r="A1035" s="313">
        <v>1817950210</v>
      </c>
      <c r="B1035" s="313" t="s">
        <v>947</v>
      </c>
      <c r="C1035" s="314">
        <v>1822092</v>
      </c>
      <c r="D1035" s="313">
        <v>1822092</v>
      </c>
      <c r="E1035" s="313">
        <v>1350375.52</v>
      </c>
      <c r="F1035" s="313">
        <v>-471716.48</v>
      </c>
      <c r="G1035" s="313">
        <v>1522509.8</v>
      </c>
      <c r="H1035" s="313">
        <v>1291144.27</v>
      </c>
    </row>
    <row r="1036" spans="1:8" x14ac:dyDescent="0.2">
      <c r="A1036" s="313">
        <v>1817951110</v>
      </c>
      <c r="B1036" s="313" t="s">
        <v>948</v>
      </c>
      <c r="C1036" s="314">
        <v>140964</v>
      </c>
      <c r="D1036" s="313">
        <v>140964</v>
      </c>
      <c r="E1036" s="313">
        <v>130577.93</v>
      </c>
      <c r="F1036" s="313">
        <v>-10386.07</v>
      </c>
      <c r="G1036" s="313">
        <v>140122.31</v>
      </c>
      <c r="H1036" s="313">
        <v>105328.58</v>
      </c>
    </row>
    <row r="1037" spans="1:8" x14ac:dyDescent="0.2">
      <c r="A1037" s="313">
        <v>1817960110</v>
      </c>
      <c r="B1037" s="313" t="s">
        <v>949</v>
      </c>
      <c r="C1037" s="314">
        <v>981664</v>
      </c>
      <c r="D1037" s="313">
        <v>981664</v>
      </c>
      <c r="E1037" s="313">
        <v>898110.11</v>
      </c>
      <c r="F1037" s="313">
        <v>-83553.89</v>
      </c>
      <c r="G1037" s="313">
        <v>896402.56</v>
      </c>
      <c r="H1037" s="313">
        <v>822645.57</v>
      </c>
    </row>
    <row r="1038" spans="1:8" x14ac:dyDescent="0.2">
      <c r="A1038" s="313">
        <v>1817961110</v>
      </c>
      <c r="B1038" s="313" t="s">
        <v>950</v>
      </c>
      <c r="C1038" s="314">
        <v>100619</v>
      </c>
      <c r="D1038" s="313">
        <v>100619</v>
      </c>
      <c r="E1038" s="313">
        <v>87972.83</v>
      </c>
      <c r="F1038" s="313">
        <v>-12646.17</v>
      </c>
      <c r="G1038" s="313">
        <v>98735.48</v>
      </c>
      <c r="H1038" s="313">
        <v>94185.93</v>
      </c>
    </row>
    <row r="1039" spans="1:8" x14ac:dyDescent="0.2">
      <c r="A1039" s="313">
        <v>1817962110</v>
      </c>
      <c r="B1039" s="313" t="s">
        <v>951</v>
      </c>
      <c r="H1039" s="313">
        <v>209061.46</v>
      </c>
    </row>
    <row r="1040" spans="1:8" x14ac:dyDescent="0.2">
      <c r="A1040" s="313">
        <v>1819951210</v>
      </c>
      <c r="B1040" s="313" t="s">
        <v>952</v>
      </c>
      <c r="C1040" s="314">
        <v>14477</v>
      </c>
      <c r="D1040" s="313">
        <v>14477</v>
      </c>
      <c r="E1040" s="313">
        <v>25410.720000000001</v>
      </c>
      <c r="F1040" s="313">
        <v>10933.72</v>
      </c>
      <c r="G1040" s="313">
        <v>20999.45</v>
      </c>
      <c r="H1040" s="313">
        <v>16936.310000000001</v>
      </c>
    </row>
    <row r="1041" spans="1:8" x14ac:dyDescent="0.2">
      <c r="A1041" s="313">
        <v>1819999110</v>
      </c>
      <c r="B1041" s="313" t="s">
        <v>919</v>
      </c>
      <c r="C1041" s="314">
        <v>242843</v>
      </c>
      <c r="D1041" s="313">
        <v>242843</v>
      </c>
      <c r="E1041" s="313">
        <v>189890.67</v>
      </c>
      <c r="F1041" s="313">
        <v>-52952.33</v>
      </c>
      <c r="G1041" s="313">
        <v>266588.57</v>
      </c>
      <c r="H1041" s="313">
        <v>245871.41</v>
      </c>
    </row>
    <row r="1042" spans="1:8" x14ac:dyDescent="0.2">
      <c r="A1042" s="313">
        <v>1819999210</v>
      </c>
      <c r="B1042" s="313" t="s">
        <v>1489</v>
      </c>
      <c r="C1042" s="314">
        <v>243498</v>
      </c>
      <c r="D1042" s="313">
        <v>243498</v>
      </c>
      <c r="E1042" s="313">
        <v>277812.03999999998</v>
      </c>
      <c r="F1042" s="313">
        <v>34314.04</v>
      </c>
      <c r="G1042" s="313">
        <v>446395.37</v>
      </c>
      <c r="H1042" s="313">
        <v>321435.71000000002</v>
      </c>
    </row>
    <row r="1043" spans="1:8" x14ac:dyDescent="0.2">
      <c r="A1043" s="313" t="s">
        <v>277</v>
      </c>
      <c r="B1043" s="313" t="s">
        <v>918</v>
      </c>
      <c r="C1043" s="314">
        <v>36688791</v>
      </c>
      <c r="D1043" s="313">
        <v>36688791</v>
      </c>
      <c r="E1043" s="313">
        <v>32320936.02</v>
      </c>
      <c r="F1043" s="313">
        <v>-4367854.9800000004</v>
      </c>
      <c r="G1043" s="313">
        <v>34218036.409999996</v>
      </c>
      <c r="H1043" s="313">
        <v>29945524.140000001</v>
      </c>
    </row>
    <row r="1044" spans="1:8" x14ac:dyDescent="0.2">
      <c r="A1044" s="313" t="s">
        <v>954</v>
      </c>
      <c r="B1044" s="313" t="s">
        <v>955</v>
      </c>
    </row>
    <row r="1045" spans="1:8" x14ac:dyDescent="0.2">
      <c r="A1045" s="313">
        <v>1812200430</v>
      </c>
      <c r="B1045" s="313" t="s">
        <v>956</v>
      </c>
      <c r="C1045" s="314">
        <v>419589</v>
      </c>
      <c r="D1045" s="313">
        <v>419589</v>
      </c>
      <c r="E1045" s="313">
        <v>294912.33</v>
      </c>
      <c r="F1045" s="313">
        <v>-124676.67</v>
      </c>
      <c r="G1045" s="313">
        <v>355311.53</v>
      </c>
      <c r="H1045" s="313">
        <v>355828.19</v>
      </c>
    </row>
    <row r="1046" spans="1:8" x14ac:dyDescent="0.2">
      <c r="A1046" s="313">
        <v>1812200540</v>
      </c>
      <c r="B1046" s="313" t="s">
        <v>957</v>
      </c>
      <c r="C1046" s="314">
        <v>19224</v>
      </c>
      <c r="D1046" s="313">
        <v>19224</v>
      </c>
      <c r="E1046" s="313">
        <v>16935.14</v>
      </c>
      <c r="F1046" s="313">
        <v>-2288.86</v>
      </c>
      <c r="G1046" s="313">
        <v>9881.67</v>
      </c>
      <c r="H1046" s="313">
        <v>40502.42</v>
      </c>
    </row>
    <row r="1047" spans="1:8" x14ac:dyDescent="0.2">
      <c r="A1047" s="313">
        <v>1812200550</v>
      </c>
      <c r="B1047" s="313" t="s">
        <v>822</v>
      </c>
      <c r="C1047" s="314">
        <v>6000</v>
      </c>
      <c r="D1047" s="313">
        <v>6000</v>
      </c>
      <c r="E1047" s="313">
        <v>2739.5</v>
      </c>
      <c r="F1047" s="313">
        <v>-3260.5</v>
      </c>
      <c r="G1047" s="313">
        <v>5500</v>
      </c>
      <c r="H1047" s="313">
        <v>2558</v>
      </c>
    </row>
    <row r="1048" spans="1:8" x14ac:dyDescent="0.2">
      <c r="A1048" s="313">
        <v>1812200720</v>
      </c>
      <c r="B1048" s="313" t="s">
        <v>958</v>
      </c>
      <c r="C1048" s="314">
        <v>100000</v>
      </c>
      <c r="D1048" s="313">
        <v>100000</v>
      </c>
      <c r="E1048" s="313">
        <v>90767.55</v>
      </c>
      <c r="F1048" s="313">
        <v>-9232.4500000000007</v>
      </c>
      <c r="G1048" s="313">
        <v>199045.6</v>
      </c>
      <c r="H1048" s="313">
        <v>87692</v>
      </c>
    </row>
    <row r="1049" spans="1:8" x14ac:dyDescent="0.2">
      <c r="A1049" s="313">
        <v>1812200721</v>
      </c>
      <c r="B1049" s="313" t="s">
        <v>959</v>
      </c>
      <c r="C1049" s="314">
        <v>35000</v>
      </c>
      <c r="D1049" s="313">
        <v>35000</v>
      </c>
      <c r="E1049" s="313">
        <v>34160</v>
      </c>
      <c r="F1049" s="313">
        <v>-840</v>
      </c>
      <c r="G1049" s="313">
        <v>35790</v>
      </c>
      <c r="H1049" s="313">
        <v>21371</v>
      </c>
    </row>
    <row r="1050" spans="1:8" x14ac:dyDescent="0.2">
      <c r="A1050" s="313">
        <v>1812200750</v>
      </c>
      <c r="B1050" s="313" t="s">
        <v>956</v>
      </c>
      <c r="C1050" s="314">
        <v>148000</v>
      </c>
      <c r="D1050" s="313">
        <v>148000</v>
      </c>
      <c r="E1050" s="313">
        <v>144880.6</v>
      </c>
      <c r="F1050" s="313">
        <v>-3119.4</v>
      </c>
      <c r="G1050" s="313">
        <v>100009</v>
      </c>
      <c r="H1050" s="313">
        <v>99999.06</v>
      </c>
    </row>
    <row r="1051" spans="1:8" x14ac:dyDescent="0.2">
      <c r="A1051" s="313">
        <v>1812200780</v>
      </c>
      <c r="B1051" s="313" t="s">
        <v>580</v>
      </c>
      <c r="C1051" s="314">
        <v>100000</v>
      </c>
      <c r="D1051" s="313">
        <v>100000</v>
      </c>
      <c r="E1051" s="313">
        <v>56883.59</v>
      </c>
      <c r="F1051" s="313">
        <v>-43116.41</v>
      </c>
      <c r="G1051" s="313">
        <v>195346.1</v>
      </c>
      <c r="H1051" s="313">
        <v>195293.46</v>
      </c>
    </row>
    <row r="1052" spans="1:8" x14ac:dyDescent="0.2">
      <c r="A1052" s="313">
        <v>1812200811</v>
      </c>
      <c r="B1052" s="313" t="s">
        <v>960</v>
      </c>
      <c r="C1052" s="314">
        <v>325000</v>
      </c>
      <c r="D1052" s="313">
        <v>325000</v>
      </c>
      <c r="E1052" s="313">
        <v>324996</v>
      </c>
      <c r="F1052" s="313">
        <v>-4</v>
      </c>
      <c r="G1052" s="313">
        <v>325000</v>
      </c>
      <c r="H1052" s="313">
        <v>325000</v>
      </c>
    </row>
    <row r="1053" spans="1:8" x14ac:dyDescent="0.2">
      <c r="A1053" s="313">
        <v>1812200930</v>
      </c>
      <c r="B1053" s="313" t="s">
        <v>961</v>
      </c>
      <c r="C1053" s="314">
        <v>85000</v>
      </c>
      <c r="D1053" s="313">
        <v>85000</v>
      </c>
      <c r="E1053" s="313">
        <v>73934.5</v>
      </c>
      <c r="F1053" s="313">
        <v>-11065.5</v>
      </c>
      <c r="G1053" s="313">
        <v>5000</v>
      </c>
    </row>
    <row r="1054" spans="1:8" x14ac:dyDescent="0.2">
      <c r="A1054" s="313">
        <v>1812201560</v>
      </c>
      <c r="B1054" s="313" t="s">
        <v>664</v>
      </c>
      <c r="C1054" s="314">
        <v>3000</v>
      </c>
      <c r="D1054" s="313">
        <v>3000</v>
      </c>
      <c r="E1054" s="313">
        <v>2988.86</v>
      </c>
      <c r="F1054" s="313">
        <v>-11.14</v>
      </c>
    </row>
    <row r="1055" spans="1:8" x14ac:dyDescent="0.2">
      <c r="A1055" s="313">
        <v>1812201780</v>
      </c>
      <c r="B1055" s="313" t="s">
        <v>962</v>
      </c>
      <c r="C1055" s="314">
        <v>35000</v>
      </c>
      <c r="D1055" s="313">
        <v>35000</v>
      </c>
      <c r="E1055" s="313">
        <v>33773.39</v>
      </c>
      <c r="F1055" s="313">
        <v>-1226.6099999999999</v>
      </c>
      <c r="G1055" s="313">
        <v>33704.58</v>
      </c>
      <c r="H1055" s="313">
        <v>44322.35</v>
      </c>
    </row>
    <row r="1056" spans="1:8" x14ac:dyDescent="0.2">
      <c r="A1056" s="313">
        <v>1812210760</v>
      </c>
      <c r="B1056" s="313" t="s">
        <v>963</v>
      </c>
      <c r="C1056" s="314">
        <v>6483444</v>
      </c>
      <c r="D1056" s="313">
        <v>6483444</v>
      </c>
      <c r="E1056" s="313">
        <v>5103040.5999999996</v>
      </c>
      <c r="F1056" s="313">
        <v>-1380403.4</v>
      </c>
      <c r="G1056" s="313">
        <v>5913751.5700000003</v>
      </c>
      <c r="H1056" s="313">
        <v>6396006.9400000004</v>
      </c>
    </row>
    <row r="1057" spans="1:8" x14ac:dyDescent="0.2">
      <c r="A1057" s="313">
        <v>1812220760</v>
      </c>
      <c r="B1057" s="313" t="s">
        <v>363</v>
      </c>
      <c r="C1057" s="314">
        <v>4820402</v>
      </c>
      <c r="D1057" s="313">
        <v>4820402</v>
      </c>
      <c r="E1057" s="313">
        <v>2477141</v>
      </c>
      <c r="F1057" s="313">
        <v>-2343261</v>
      </c>
      <c r="G1057" s="313">
        <v>4428704</v>
      </c>
      <c r="H1057" s="313">
        <v>4055097</v>
      </c>
    </row>
    <row r="1058" spans="1:8" x14ac:dyDescent="0.2">
      <c r="A1058" s="313">
        <v>1812500780</v>
      </c>
      <c r="B1058" s="313" t="s">
        <v>964</v>
      </c>
      <c r="C1058" s="314">
        <v>1841878</v>
      </c>
      <c r="D1058" s="313">
        <v>1841878</v>
      </c>
      <c r="E1058" s="313">
        <v>1332809.6499999999</v>
      </c>
      <c r="F1058" s="313">
        <v>-509068.35</v>
      </c>
      <c r="G1058" s="313">
        <v>2223356.63</v>
      </c>
      <c r="H1058" s="313">
        <v>1841018.19</v>
      </c>
    </row>
    <row r="1059" spans="1:8" x14ac:dyDescent="0.2">
      <c r="A1059" s="313">
        <v>1812501780</v>
      </c>
      <c r="B1059" s="313" t="s">
        <v>965</v>
      </c>
      <c r="C1059" s="314">
        <v>2455717</v>
      </c>
      <c r="D1059" s="313">
        <v>2455717</v>
      </c>
      <c r="E1059" s="313">
        <v>1840780.63</v>
      </c>
      <c r="F1059" s="313">
        <v>-614936.37</v>
      </c>
      <c r="G1059" s="313">
        <v>2443779.77</v>
      </c>
      <c r="H1059" s="313">
        <v>2036467.62</v>
      </c>
    </row>
    <row r="1060" spans="1:8" x14ac:dyDescent="0.2">
      <c r="A1060" s="313">
        <v>1813200430</v>
      </c>
      <c r="B1060" s="313" t="s">
        <v>839</v>
      </c>
      <c r="C1060" s="314">
        <v>1276292</v>
      </c>
      <c r="D1060" s="313">
        <v>1276292</v>
      </c>
      <c r="E1060" s="313">
        <v>756911.59</v>
      </c>
      <c r="F1060" s="313">
        <v>-519380.41</v>
      </c>
      <c r="G1060" s="313">
        <v>1213615.71</v>
      </c>
      <c r="H1060" s="313">
        <v>1361512.51</v>
      </c>
    </row>
    <row r="1061" spans="1:8" x14ac:dyDescent="0.2">
      <c r="A1061" s="313">
        <v>1813200470</v>
      </c>
      <c r="B1061" s="313" t="s">
        <v>966</v>
      </c>
      <c r="C1061" s="314">
        <v>25000</v>
      </c>
      <c r="D1061" s="313">
        <v>25000</v>
      </c>
      <c r="E1061" s="313">
        <v>26784</v>
      </c>
      <c r="F1061" s="313">
        <v>1784</v>
      </c>
      <c r="G1061" s="313">
        <v>10701</v>
      </c>
      <c r="H1061" s="313">
        <v>26029</v>
      </c>
    </row>
    <row r="1062" spans="1:8" x14ac:dyDescent="0.2">
      <c r="A1062" s="313">
        <v>1813200540</v>
      </c>
      <c r="B1062" s="313" t="s">
        <v>967</v>
      </c>
      <c r="C1062" s="314">
        <v>3350</v>
      </c>
      <c r="D1062" s="313">
        <v>3350</v>
      </c>
      <c r="E1062" s="313">
        <v>2795.52</v>
      </c>
      <c r="F1062" s="313">
        <v>-554.48</v>
      </c>
      <c r="G1062" s="313">
        <v>1565.68</v>
      </c>
    </row>
    <row r="1063" spans="1:8" x14ac:dyDescent="0.2">
      <c r="A1063" s="313">
        <v>1813200720</v>
      </c>
      <c r="B1063" s="313" t="s">
        <v>689</v>
      </c>
      <c r="C1063" s="314">
        <v>134650</v>
      </c>
      <c r="D1063" s="313">
        <v>134650</v>
      </c>
      <c r="E1063" s="313">
        <v>71450.350000000006</v>
      </c>
      <c r="F1063" s="313">
        <v>-63199.65</v>
      </c>
      <c r="G1063" s="313">
        <v>146639.23000000001</v>
      </c>
      <c r="H1063" s="313">
        <v>149226.95000000001</v>
      </c>
    </row>
    <row r="1064" spans="1:8" x14ac:dyDescent="0.2">
      <c r="A1064" s="313">
        <v>1813200721</v>
      </c>
      <c r="B1064" s="313" t="s">
        <v>968</v>
      </c>
      <c r="C1064" s="314">
        <v>250000</v>
      </c>
      <c r="D1064" s="313">
        <v>250000</v>
      </c>
      <c r="E1064" s="313">
        <v>312608</v>
      </c>
      <c r="F1064" s="313">
        <v>62608</v>
      </c>
      <c r="G1064" s="313">
        <v>265255</v>
      </c>
      <c r="H1064" s="313">
        <v>335033</v>
      </c>
    </row>
    <row r="1065" spans="1:8" x14ac:dyDescent="0.2">
      <c r="A1065" s="313">
        <v>1813200750</v>
      </c>
      <c r="B1065" s="313" t="s">
        <v>714</v>
      </c>
      <c r="C1065" s="314">
        <v>568000</v>
      </c>
      <c r="D1065" s="313">
        <v>568000</v>
      </c>
      <c r="E1065" s="313">
        <v>474911.1</v>
      </c>
      <c r="F1065" s="313">
        <v>-93088.9</v>
      </c>
      <c r="G1065" s="313">
        <v>70300.23</v>
      </c>
      <c r="H1065" s="313">
        <v>117433.52</v>
      </c>
    </row>
    <row r="1066" spans="1:8" x14ac:dyDescent="0.2">
      <c r="A1066" s="313">
        <v>1813200780</v>
      </c>
      <c r="B1066" s="313" t="s">
        <v>580</v>
      </c>
      <c r="C1066" s="314">
        <v>25000</v>
      </c>
      <c r="D1066" s="313">
        <v>25000</v>
      </c>
      <c r="E1066" s="313">
        <v>21991.3</v>
      </c>
      <c r="F1066" s="313">
        <v>-3008.7</v>
      </c>
      <c r="G1066" s="313">
        <v>24994</v>
      </c>
      <c r="H1066" s="313">
        <v>26166</v>
      </c>
    </row>
    <row r="1067" spans="1:8" x14ac:dyDescent="0.2">
      <c r="A1067" s="313">
        <v>1813200910</v>
      </c>
      <c r="B1067" s="313" t="s">
        <v>738</v>
      </c>
      <c r="C1067" s="314">
        <v>56000</v>
      </c>
      <c r="D1067" s="313">
        <v>56000</v>
      </c>
      <c r="E1067" s="313">
        <v>56000</v>
      </c>
    </row>
    <row r="1068" spans="1:8" x14ac:dyDescent="0.2">
      <c r="A1068" s="313">
        <v>1813200930</v>
      </c>
      <c r="B1068" s="313" t="s">
        <v>961</v>
      </c>
      <c r="C1068" s="314">
        <v>77000</v>
      </c>
      <c r="D1068" s="313">
        <v>77000</v>
      </c>
      <c r="E1068" s="313">
        <v>55811.34</v>
      </c>
      <c r="F1068" s="313">
        <v>-21188.66</v>
      </c>
    </row>
    <row r="1069" spans="1:8" x14ac:dyDescent="0.2">
      <c r="A1069" s="313">
        <v>1813200980</v>
      </c>
      <c r="B1069" s="313" t="s">
        <v>969</v>
      </c>
      <c r="C1069" s="314">
        <v>2096000</v>
      </c>
      <c r="D1069" s="313">
        <v>2096000</v>
      </c>
      <c r="E1069" s="313">
        <v>782194.5</v>
      </c>
      <c r="F1069" s="313">
        <v>-1313805.5</v>
      </c>
      <c r="G1069" s="313">
        <v>2584539.7999999998</v>
      </c>
      <c r="H1069" s="313">
        <v>2179013.1</v>
      </c>
    </row>
    <row r="1070" spans="1:8" x14ac:dyDescent="0.2">
      <c r="A1070" s="313">
        <v>1813200981</v>
      </c>
      <c r="B1070" s="313" t="s">
        <v>1494</v>
      </c>
      <c r="C1070" s="314">
        <v>2040000</v>
      </c>
      <c r="D1070" s="313">
        <v>2040000</v>
      </c>
      <c r="E1070" s="313">
        <v>1457267.9</v>
      </c>
      <c r="F1070" s="313">
        <v>-582732.1</v>
      </c>
      <c r="G1070" s="313">
        <v>1779170.81</v>
      </c>
      <c r="H1070" s="313">
        <v>1034050</v>
      </c>
    </row>
    <row r="1071" spans="1:8" x14ac:dyDescent="0.2">
      <c r="A1071" s="313">
        <v>1813201750</v>
      </c>
      <c r="B1071" s="313" t="s">
        <v>970</v>
      </c>
      <c r="C1071" s="314">
        <v>262500</v>
      </c>
      <c r="D1071" s="313">
        <v>262500</v>
      </c>
      <c r="E1071" s="313">
        <v>203568.8</v>
      </c>
      <c r="F1071" s="313">
        <v>-58931.199999999997</v>
      </c>
      <c r="G1071" s="313">
        <v>262278.3</v>
      </c>
      <c r="H1071" s="313">
        <v>436527.1</v>
      </c>
    </row>
    <row r="1072" spans="1:8" x14ac:dyDescent="0.2">
      <c r="A1072" s="313">
        <v>1813201780</v>
      </c>
      <c r="B1072" s="313" t="s">
        <v>1493</v>
      </c>
      <c r="C1072" s="314">
        <v>520202</v>
      </c>
      <c r="D1072" s="313">
        <v>520202</v>
      </c>
      <c r="E1072" s="313">
        <v>518035.75</v>
      </c>
      <c r="F1072" s="313">
        <v>-2166.25</v>
      </c>
      <c r="G1072" s="313">
        <v>104300</v>
      </c>
      <c r="H1072" s="313">
        <v>59780</v>
      </c>
    </row>
    <row r="1073" spans="1:8" x14ac:dyDescent="0.2">
      <c r="A1073" s="313">
        <v>1813201781</v>
      </c>
      <c r="B1073" s="313" t="s">
        <v>1492</v>
      </c>
      <c r="C1073" s="314">
        <v>540750</v>
      </c>
      <c r="D1073" s="313">
        <v>540750</v>
      </c>
      <c r="E1073" s="313">
        <v>542041.75</v>
      </c>
      <c r="F1073" s="313">
        <v>1291.75</v>
      </c>
      <c r="G1073" s="313">
        <v>573186.69999999995</v>
      </c>
      <c r="H1073" s="313">
        <v>172550</v>
      </c>
    </row>
    <row r="1074" spans="1:8" x14ac:dyDescent="0.2">
      <c r="A1074" s="313">
        <v>1813201980</v>
      </c>
      <c r="B1074" s="313" t="s">
        <v>127</v>
      </c>
      <c r="C1074" s="314">
        <v>1303107</v>
      </c>
      <c r="D1074" s="313">
        <v>1303107</v>
      </c>
      <c r="E1074" s="313">
        <v>953107</v>
      </c>
      <c r="F1074" s="313">
        <v>-350000</v>
      </c>
      <c r="G1074" s="313">
        <v>975543</v>
      </c>
      <c r="H1074" s="313">
        <v>837505.62</v>
      </c>
    </row>
    <row r="1075" spans="1:8" x14ac:dyDescent="0.2">
      <c r="A1075" s="313">
        <v>1813205760</v>
      </c>
      <c r="B1075" s="313" t="s">
        <v>971</v>
      </c>
      <c r="C1075" s="314">
        <v>75000</v>
      </c>
      <c r="D1075" s="313">
        <v>75000</v>
      </c>
      <c r="E1075" s="313">
        <v>75000</v>
      </c>
      <c r="G1075" s="313">
        <v>75000</v>
      </c>
      <c r="H1075" s="313">
        <v>75000</v>
      </c>
    </row>
    <row r="1076" spans="1:8" x14ac:dyDescent="0.2">
      <c r="A1076" s="313">
        <v>1813205780</v>
      </c>
      <c r="B1076" s="313" t="s">
        <v>972</v>
      </c>
      <c r="C1076" s="314">
        <v>300000</v>
      </c>
      <c r="D1076" s="313">
        <v>300000</v>
      </c>
      <c r="E1076" s="313">
        <v>300000</v>
      </c>
      <c r="G1076" s="313">
        <v>300000</v>
      </c>
      <c r="H1076" s="313">
        <v>300000</v>
      </c>
    </row>
    <row r="1077" spans="1:8" x14ac:dyDescent="0.2">
      <c r="A1077" s="313">
        <v>1813205781</v>
      </c>
      <c r="B1077" s="313" t="s">
        <v>1582</v>
      </c>
      <c r="C1077" s="314">
        <v>99000</v>
      </c>
      <c r="D1077" s="313">
        <v>99000</v>
      </c>
      <c r="E1077" s="313">
        <v>60000</v>
      </c>
      <c r="F1077" s="313">
        <v>-39000</v>
      </c>
      <c r="G1077" s="313">
        <v>15588</v>
      </c>
    </row>
    <row r="1078" spans="1:8" x14ac:dyDescent="0.2">
      <c r="A1078" s="313">
        <v>1813211750</v>
      </c>
      <c r="B1078" s="313" t="s">
        <v>974</v>
      </c>
      <c r="C1078" s="314">
        <v>1850000</v>
      </c>
      <c r="D1078" s="313">
        <v>1850000</v>
      </c>
      <c r="E1078" s="313">
        <v>1291135</v>
      </c>
      <c r="F1078" s="313">
        <v>-558865</v>
      </c>
      <c r="G1078" s="313">
        <v>1926110.5</v>
      </c>
      <c r="H1078" s="313">
        <v>1826530</v>
      </c>
    </row>
    <row r="1079" spans="1:8" x14ac:dyDescent="0.2">
      <c r="A1079" s="313">
        <v>1813300430</v>
      </c>
      <c r="B1079" s="313" t="s">
        <v>975</v>
      </c>
      <c r="C1079" s="314">
        <v>5000</v>
      </c>
      <c r="D1079" s="313">
        <v>5000</v>
      </c>
      <c r="F1079" s="313">
        <v>-5000</v>
      </c>
      <c r="G1079" s="313">
        <v>5000</v>
      </c>
      <c r="H1079" s="313">
        <v>5000</v>
      </c>
    </row>
    <row r="1080" spans="1:8" x14ac:dyDescent="0.2">
      <c r="A1080" s="313">
        <v>1813300721</v>
      </c>
      <c r="B1080" s="313" t="s">
        <v>976</v>
      </c>
      <c r="C1080" s="314">
        <v>552892</v>
      </c>
      <c r="D1080" s="313">
        <v>552892</v>
      </c>
      <c r="E1080" s="313">
        <v>331906.90000000002</v>
      </c>
      <c r="F1080" s="313">
        <v>-220985.1</v>
      </c>
      <c r="G1080" s="313">
        <v>548265.4</v>
      </c>
      <c r="H1080" s="313">
        <v>603940.98</v>
      </c>
    </row>
    <row r="1081" spans="1:8" x14ac:dyDescent="0.2">
      <c r="A1081" s="313">
        <v>1813300780</v>
      </c>
      <c r="B1081" s="313" t="s">
        <v>977</v>
      </c>
      <c r="C1081" s="314">
        <v>28625</v>
      </c>
      <c r="D1081" s="313">
        <v>28625</v>
      </c>
      <c r="E1081" s="313">
        <v>28625</v>
      </c>
      <c r="G1081" s="313">
        <v>20000</v>
      </c>
      <c r="H1081" s="313">
        <v>20000</v>
      </c>
    </row>
    <row r="1082" spans="1:8" x14ac:dyDescent="0.2">
      <c r="A1082" s="313">
        <v>1813311750</v>
      </c>
      <c r="B1082" s="313" t="s">
        <v>978</v>
      </c>
      <c r="C1082" s="314">
        <v>310000</v>
      </c>
      <c r="D1082" s="313">
        <v>310000</v>
      </c>
      <c r="E1082" s="313">
        <v>243560</v>
      </c>
      <c r="F1082" s="313">
        <v>-66440</v>
      </c>
      <c r="G1082" s="313">
        <v>309666</v>
      </c>
      <c r="H1082" s="313">
        <v>300872</v>
      </c>
    </row>
    <row r="1083" spans="1:8" x14ac:dyDescent="0.2">
      <c r="A1083" s="313">
        <v>1813317780</v>
      </c>
      <c r="B1083" s="313" t="s">
        <v>289</v>
      </c>
      <c r="C1083" s="314">
        <v>1350000</v>
      </c>
      <c r="D1083" s="313">
        <v>1350000</v>
      </c>
      <c r="E1083" s="313">
        <v>646948</v>
      </c>
      <c r="F1083" s="313">
        <v>-703052</v>
      </c>
      <c r="G1083" s="313">
        <v>1756266.25</v>
      </c>
      <c r="H1083" s="313">
        <v>1395758</v>
      </c>
    </row>
    <row r="1084" spans="1:8" x14ac:dyDescent="0.2">
      <c r="A1084" s="313">
        <v>1813700750</v>
      </c>
      <c r="B1084" s="313" t="s">
        <v>979</v>
      </c>
      <c r="C1084" s="314">
        <v>45000</v>
      </c>
      <c r="D1084" s="313">
        <v>45000</v>
      </c>
      <c r="E1084" s="313">
        <v>29635.45</v>
      </c>
      <c r="F1084" s="313">
        <v>-15364.55</v>
      </c>
      <c r="G1084" s="313">
        <v>56522.45</v>
      </c>
      <c r="H1084" s="313">
        <v>40107.15</v>
      </c>
    </row>
    <row r="1085" spans="1:8" x14ac:dyDescent="0.2">
      <c r="A1085" s="313">
        <v>1813700780</v>
      </c>
      <c r="B1085" s="313" t="s">
        <v>1491</v>
      </c>
      <c r="C1085" s="314">
        <v>1000</v>
      </c>
      <c r="D1085" s="313">
        <v>1000</v>
      </c>
      <c r="F1085" s="313">
        <v>-1000</v>
      </c>
      <c r="G1085" s="313">
        <v>1000</v>
      </c>
      <c r="H1085" s="313">
        <v>-177</v>
      </c>
    </row>
    <row r="1086" spans="1:8" x14ac:dyDescent="0.2">
      <c r="A1086" s="313">
        <v>1815200810</v>
      </c>
      <c r="B1086" s="313" t="s">
        <v>981</v>
      </c>
      <c r="C1086" s="314">
        <v>41360</v>
      </c>
      <c r="D1086" s="313">
        <v>41360</v>
      </c>
      <c r="E1086" s="313">
        <v>41360</v>
      </c>
      <c r="G1086" s="313">
        <v>41209.26</v>
      </c>
      <c r="H1086" s="313">
        <v>38360</v>
      </c>
    </row>
    <row r="1087" spans="1:8" x14ac:dyDescent="0.2">
      <c r="A1087" s="313">
        <v>1815700810</v>
      </c>
      <c r="B1087" s="313" t="s">
        <v>982</v>
      </c>
      <c r="C1087" s="314">
        <v>350000</v>
      </c>
      <c r="D1087" s="313">
        <v>350000</v>
      </c>
      <c r="F1087" s="313">
        <v>-350000</v>
      </c>
      <c r="G1087" s="313">
        <v>25443</v>
      </c>
      <c r="H1087" s="313">
        <v>-73992.2</v>
      </c>
    </row>
    <row r="1088" spans="1:8" x14ac:dyDescent="0.2">
      <c r="A1088" s="313">
        <v>1815701810</v>
      </c>
      <c r="B1088" s="313" t="s">
        <v>983</v>
      </c>
      <c r="C1088" s="314">
        <v>14200000</v>
      </c>
      <c r="D1088" s="313">
        <v>14200000</v>
      </c>
      <c r="E1088" s="313">
        <v>14200002</v>
      </c>
      <c r="F1088" s="313">
        <v>2</v>
      </c>
      <c r="G1088" s="313">
        <v>14200000</v>
      </c>
      <c r="H1088" s="313">
        <v>14200000</v>
      </c>
    </row>
    <row r="1089" spans="1:8" x14ac:dyDescent="0.2">
      <c r="A1089" s="313">
        <v>1815777780</v>
      </c>
      <c r="B1089" s="313" t="s">
        <v>985</v>
      </c>
      <c r="C1089" s="314">
        <v>1050000</v>
      </c>
      <c r="D1089" s="313">
        <v>1050000</v>
      </c>
      <c r="F1089" s="313">
        <v>-1050000</v>
      </c>
      <c r="G1089" s="313">
        <v>943762</v>
      </c>
      <c r="H1089" s="313">
        <v>1409032</v>
      </c>
    </row>
    <row r="1090" spans="1:8" x14ac:dyDescent="0.2">
      <c r="A1090" s="313">
        <v>1815777781</v>
      </c>
      <c r="B1090" s="313" t="s">
        <v>985</v>
      </c>
      <c r="C1090" s="314">
        <v>16000000</v>
      </c>
      <c r="D1090" s="313">
        <v>16000000</v>
      </c>
      <c r="E1090" s="313">
        <v>16000000</v>
      </c>
      <c r="G1090" s="313">
        <v>15999997</v>
      </c>
      <c r="H1090" s="313">
        <v>15999997</v>
      </c>
    </row>
    <row r="1091" spans="1:8" x14ac:dyDescent="0.2">
      <c r="A1091" s="313">
        <v>1815788780</v>
      </c>
      <c r="B1091" s="313" t="s">
        <v>986</v>
      </c>
      <c r="C1091" s="314">
        <v>625000</v>
      </c>
      <c r="D1091" s="313">
        <v>625000</v>
      </c>
      <c r="E1091" s="313">
        <v>324996</v>
      </c>
      <c r="F1091" s="313">
        <v>-300004</v>
      </c>
      <c r="G1091" s="313">
        <v>649992</v>
      </c>
      <c r="H1091" s="313">
        <v>627511.41</v>
      </c>
    </row>
    <row r="1092" spans="1:8" x14ac:dyDescent="0.2">
      <c r="A1092" s="313">
        <v>1815788781</v>
      </c>
      <c r="B1092" s="313" t="s">
        <v>292</v>
      </c>
      <c r="C1092" s="314">
        <v>7000000</v>
      </c>
      <c r="D1092" s="313">
        <v>7000000</v>
      </c>
      <c r="E1092" s="313">
        <v>7000000</v>
      </c>
      <c r="G1092" s="313">
        <v>7000000</v>
      </c>
      <c r="H1092" s="313">
        <v>7000000</v>
      </c>
    </row>
    <row r="1093" spans="1:8" x14ac:dyDescent="0.2">
      <c r="A1093" s="313">
        <v>1817000980</v>
      </c>
      <c r="B1093" s="313" t="s">
        <v>987</v>
      </c>
      <c r="C1093" s="314">
        <v>745903</v>
      </c>
      <c r="D1093" s="313">
        <v>745903</v>
      </c>
      <c r="E1093" s="313">
        <v>568773.5</v>
      </c>
      <c r="F1093" s="313">
        <v>-177129.5</v>
      </c>
      <c r="G1093" s="313">
        <v>553970.51</v>
      </c>
      <c r="H1093" s="313">
        <v>667052.41</v>
      </c>
    </row>
    <row r="1094" spans="1:8" x14ac:dyDescent="0.2">
      <c r="A1094" s="313">
        <v>1817100750</v>
      </c>
      <c r="B1094" s="313" t="s">
        <v>988</v>
      </c>
      <c r="C1094" s="314">
        <v>1955935</v>
      </c>
      <c r="D1094" s="313">
        <v>1955935</v>
      </c>
      <c r="E1094" s="313">
        <v>1293244.8600000001</v>
      </c>
      <c r="F1094" s="313">
        <v>-662690.14</v>
      </c>
      <c r="G1094" s="313">
        <v>1934251.55</v>
      </c>
      <c r="H1094" s="313">
        <v>1870565.89</v>
      </c>
    </row>
    <row r="1095" spans="1:8" x14ac:dyDescent="0.2">
      <c r="A1095" s="313">
        <v>1817200540</v>
      </c>
      <c r="B1095" s="313" t="s">
        <v>989</v>
      </c>
      <c r="C1095" s="314">
        <v>3500</v>
      </c>
      <c r="D1095" s="313">
        <v>3500</v>
      </c>
      <c r="E1095" s="313">
        <v>3664.03</v>
      </c>
      <c r="F1095" s="313">
        <v>164.03</v>
      </c>
      <c r="G1095" s="313">
        <v>5583.95</v>
      </c>
      <c r="H1095" s="313">
        <v>3630.4</v>
      </c>
    </row>
    <row r="1096" spans="1:8" x14ac:dyDescent="0.2">
      <c r="A1096" s="313">
        <v>1817200780</v>
      </c>
      <c r="B1096" s="313" t="s">
        <v>990</v>
      </c>
      <c r="G1096" s="313">
        <v>5791.5</v>
      </c>
    </row>
    <row r="1097" spans="1:8" x14ac:dyDescent="0.2">
      <c r="A1097" s="313">
        <v>1817300430</v>
      </c>
      <c r="B1097" s="313" t="s">
        <v>839</v>
      </c>
      <c r="C1097" s="314">
        <v>26000</v>
      </c>
      <c r="D1097" s="313">
        <v>26000</v>
      </c>
      <c r="E1097" s="313">
        <v>18373.689999999999</v>
      </c>
      <c r="F1097" s="313">
        <v>-7626.31</v>
      </c>
      <c r="G1097" s="313">
        <v>20570.59</v>
      </c>
      <c r="H1097" s="313">
        <v>23328.44</v>
      </c>
    </row>
    <row r="1098" spans="1:8" x14ac:dyDescent="0.2">
      <c r="A1098" s="313">
        <v>1817300470</v>
      </c>
      <c r="B1098" s="313" t="s">
        <v>820</v>
      </c>
      <c r="C1098" s="314">
        <v>3000</v>
      </c>
      <c r="D1098" s="313">
        <v>3000</v>
      </c>
      <c r="E1098" s="313">
        <v>2311.5700000000002</v>
      </c>
      <c r="F1098" s="313">
        <v>-688.43</v>
      </c>
      <c r="G1098" s="313">
        <v>2968.29</v>
      </c>
      <c r="H1098" s="313">
        <v>2377.59</v>
      </c>
    </row>
    <row r="1099" spans="1:8" x14ac:dyDescent="0.2">
      <c r="A1099" s="313">
        <v>1817300511</v>
      </c>
      <c r="B1099" s="313" t="s">
        <v>697</v>
      </c>
      <c r="C1099" s="314">
        <v>1500</v>
      </c>
      <c r="D1099" s="313">
        <v>1500</v>
      </c>
      <c r="E1099" s="313">
        <v>1105.51</v>
      </c>
      <c r="F1099" s="313">
        <v>-394.49</v>
      </c>
      <c r="G1099" s="313">
        <v>1500.02</v>
      </c>
      <c r="H1099" s="313">
        <v>1493.64</v>
      </c>
    </row>
    <row r="1100" spans="1:8" x14ac:dyDescent="0.2">
      <c r="A1100" s="313">
        <v>1817300521</v>
      </c>
      <c r="B1100" s="313" t="s">
        <v>991</v>
      </c>
      <c r="C1100" s="314">
        <v>50000</v>
      </c>
      <c r="D1100" s="313">
        <v>50000</v>
      </c>
      <c r="E1100" s="313">
        <v>19975.3</v>
      </c>
      <c r="F1100" s="313">
        <v>-30024.7</v>
      </c>
      <c r="G1100" s="313">
        <v>41760.480000000003</v>
      </c>
      <c r="H1100" s="313">
        <v>43872.28</v>
      </c>
    </row>
    <row r="1101" spans="1:8" x14ac:dyDescent="0.2">
      <c r="A1101" s="313">
        <v>1817300540</v>
      </c>
      <c r="B1101" s="313" t="s">
        <v>875</v>
      </c>
      <c r="C1101" s="314">
        <v>11000</v>
      </c>
      <c r="D1101" s="313">
        <v>11000</v>
      </c>
      <c r="E1101" s="313">
        <v>3287.04</v>
      </c>
      <c r="F1101" s="313">
        <v>-7712.96</v>
      </c>
      <c r="G1101" s="313">
        <v>3094.02</v>
      </c>
      <c r="H1101" s="313">
        <v>9303.0300000000007</v>
      </c>
    </row>
    <row r="1102" spans="1:8" x14ac:dyDescent="0.2">
      <c r="A1102" s="313">
        <v>1817300581</v>
      </c>
      <c r="B1102" s="313" t="s">
        <v>1938</v>
      </c>
      <c r="C1102" s="314">
        <v>2000</v>
      </c>
      <c r="D1102" s="313">
        <v>2000</v>
      </c>
      <c r="E1102" s="313">
        <v>1764.28</v>
      </c>
      <c r="F1102" s="313">
        <v>-235.72</v>
      </c>
    </row>
    <row r="1103" spans="1:8" x14ac:dyDescent="0.2">
      <c r="A1103" s="313">
        <v>1817300720</v>
      </c>
      <c r="B1103" s="313" t="s">
        <v>689</v>
      </c>
      <c r="C1103" s="314">
        <v>1000</v>
      </c>
      <c r="D1103" s="313">
        <v>1000</v>
      </c>
      <c r="E1103" s="313">
        <v>1013.03</v>
      </c>
      <c r="F1103" s="313">
        <v>13.03</v>
      </c>
      <c r="G1103" s="313">
        <v>1702.73</v>
      </c>
      <c r="H1103" s="313">
        <v>1037</v>
      </c>
    </row>
    <row r="1104" spans="1:8" x14ac:dyDescent="0.2">
      <c r="A1104" s="313">
        <v>1817300750</v>
      </c>
      <c r="B1104" s="313" t="s">
        <v>714</v>
      </c>
      <c r="C1104" s="314">
        <v>21071</v>
      </c>
      <c r="D1104" s="313">
        <v>21071</v>
      </c>
      <c r="E1104" s="313">
        <v>21692.21</v>
      </c>
      <c r="F1104" s="313">
        <v>621.21</v>
      </c>
      <c r="G1104" s="313">
        <v>24809.47</v>
      </c>
      <c r="H1104" s="313">
        <v>36555.599999999999</v>
      </c>
    </row>
    <row r="1105" spans="1:8" x14ac:dyDescent="0.2">
      <c r="A1105" s="313">
        <v>1817300780</v>
      </c>
      <c r="B1105" s="313" t="s">
        <v>580</v>
      </c>
      <c r="C1105" s="314">
        <v>4000</v>
      </c>
      <c r="D1105" s="313">
        <v>4000</v>
      </c>
      <c r="E1105" s="313">
        <v>3849.6</v>
      </c>
      <c r="F1105" s="313">
        <v>-150.4</v>
      </c>
      <c r="G1105" s="313">
        <v>6767.49</v>
      </c>
      <c r="H1105" s="313">
        <v>4508.2700000000004</v>
      </c>
    </row>
    <row r="1106" spans="1:8" x14ac:dyDescent="0.2">
      <c r="A1106" s="313">
        <v>1817300930</v>
      </c>
      <c r="B1106" s="313" t="s">
        <v>1887</v>
      </c>
      <c r="C1106" s="314">
        <v>3929</v>
      </c>
      <c r="D1106" s="313">
        <v>3929</v>
      </c>
      <c r="E1106" s="313">
        <v>2129</v>
      </c>
      <c r="F1106" s="313">
        <v>-1800</v>
      </c>
    </row>
    <row r="1107" spans="1:8" x14ac:dyDescent="0.2">
      <c r="A1107" s="313">
        <v>1817500760</v>
      </c>
      <c r="B1107" s="313" t="s">
        <v>992</v>
      </c>
      <c r="C1107" s="314">
        <v>350000</v>
      </c>
      <c r="D1107" s="313">
        <v>350000</v>
      </c>
      <c r="E1107" s="313">
        <v>317961</v>
      </c>
      <c r="F1107" s="313">
        <v>-32039</v>
      </c>
      <c r="G1107" s="313">
        <v>293615</v>
      </c>
      <c r="H1107" s="313">
        <v>453862.5</v>
      </c>
    </row>
    <row r="1108" spans="1:8" x14ac:dyDescent="0.2">
      <c r="A1108" s="313">
        <v>1817600980</v>
      </c>
      <c r="B1108" s="313" t="s">
        <v>993</v>
      </c>
      <c r="C1108" s="314">
        <v>990554</v>
      </c>
      <c r="D1108" s="313">
        <v>990554</v>
      </c>
      <c r="E1108" s="313">
        <v>297096.5</v>
      </c>
      <c r="F1108" s="313">
        <v>-693457.5</v>
      </c>
      <c r="G1108" s="313">
        <v>1116008.99</v>
      </c>
      <c r="H1108" s="313">
        <v>535430.89</v>
      </c>
    </row>
    <row r="1109" spans="1:8" x14ac:dyDescent="0.2">
      <c r="A1109" s="313">
        <v>1817700780</v>
      </c>
      <c r="B1109" s="313" t="s">
        <v>388</v>
      </c>
      <c r="C1109" s="314">
        <v>5000</v>
      </c>
      <c r="D1109" s="313">
        <v>5000</v>
      </c>
      <c r="E1109" s="313">
        <v>2819.7</v>
      </c>
      <c r="F1109" s="313">
        <v>-2180.3000000000002</v>
      </c>
      <c r="H1109" s="313">
        <v>2966</v>
      </c>
    </row>
    <row r="1110" spans="1:8" x14ac:dyDescent="0.2">
      <c r="A1110" s="313">
        <v>1817710721</v>
      </c>
      <c r="B1110" s="313" t="s">
        <v>994</v>
      </c>
      <c r="C1110" s="314">
        <v>195000</v>
      </c>
      <c r="D1110" s="313">
        <v>195000</v>
      </c>
      <c r="E1110" s="313">
        <v>192349.33</v>
      </c>
      <c r="F1110" s="313">
        <v>-2650.67</v>
      </c>
      <c r="G1110" s="313">
        <v>176394.03</v>
      </c>
      <c r="H1110" s="313">
        <v>213423.43</v>
      </c>
    </row>
    <row r="1111" spans="1:8" x14ac:dyDescent="0.2">
      <c r="A1111" s="313">
        <v>1817800510</v>
      </c>
      <c r="B1111" s="313" t="s">
        <v>995</v>
      </c>
      <c r="C1111" s="314">
        <v>5769876</v>
      </c>
      <c r="D1111" s="313">
        <v>5769876</v>
      </c>
      <c r="E1111" s="313">
        <v>4240910.5199999996</v>
      </c>
      <c r="F1111" s="313">
        <v>-1528965.48</v>
      </c>
      <c r="G1111" s="313">
        <v>5372303.4500000002</v>
      </c>
      <c r="H1111" s="313">
        <v>5115944.53</v>
      </c>
    </row>
    <row r="1112" spans="1:8" x14ac:dyDescent="0.2">
      <c r="A1112" s="313">
        <v>1817900430</v>
      </c>
      <c r="B1112" s="313" t="s">
        <v>996</v>
      </c>
      <c r="C1112" s="314">
        <v>6000</v>
      </c>
      <c r="D1112" s="313">
        <v>6000</v>
      </c>
      <c r="E1112" s="313">
        <v>1273.3499999999999</v>
      </c>
      <c r="F1112" s="313">
        <v>-4726.6499999999996</v>
      </c>
      <c r="G1112" s="313">
        <v>8063.66</v>
      </c>
      <c r="H1112" s="313">
        <v>6464.99</v>
      </c>
    </row>
    <row r="1113" spans="1:8" x14ac:dyDescent="0.2">
      <c r="A1113" s="313">
        <v>1817900540</v>
      </c>
      <c r="B1113" s="313" t="s">
        <v>997</v>
      </c>
      <c r="C1113" s="314">
        <v>4211</v>
      </c>
      <c r="D1113" s="313">
        <v>4211</v>
      </c>
      <c r="E1113" s="313">
        <v>3412.46</v>
      </c>
      <c r="F1113" s="313">
        <v>-798.54</v>
      </c>
      <c r="G1113" s="313">
        <v>3868.91</v>
      </c>
      <c r="H1113" s="313">
        <v>4584.0200000000004</v>
      </c>
    </row>
    <row r="1114" spans="1:8" x14ac:dyDescent="0.2">
      <c r="A1114" s="313">
        <v>1817900780</v>
      </c>
      <c r="B1114" s="313" t="s">
        <v>580</v>
      </c>
      <c r="C1114" s="314">
        <v>25000</v>
      </c>
      <c r="D1114" s="313">
        <v>25000</v>
      </c>
      <c r="E1114" s="313">
        <v>23038.37</v>
      </c>
      <c r="F1114" s="313">
        <v>-1961.63</v>
      </c>
      <c r="G1114" s="313">
        <v>25022.21</v>
      </c>
    </row>
    <row r="1115" spans="1:8" x14ac:dyDescent="0.2">
      <c r="A1115" s="313">
        <v>1817900910</v>
      </c>
      <c r="B1115" s="313" t="s">
        <v>704</v>
      </c>
      <c r="C1115" s="314">
        <v>84692</v>
      </c>
      <c r="D1115" s="313">
        <v>84692</v>
      </c>
      <c r="E1115" s="313">
        <v>84692</v>
      </c>
      <c r="G1115" s="313">
        <v>52332</v>
      </c>
      <c r="H1115" s="313">
        <v>52332</v>
      </c>
    </row>
    <row r="1116" spans="1:8" x14ac:dyDescent="0.2">
      <c r="A1116" s="313">
        <v>1817922780</v>
      </c>
      <c r="B1116" s="313" t="s">
        <v>998</v>
      </c>
      <c r="C1116" s="314">
        <v>26271</v>
      </c>
      <c r="D1116" s="313">
        <v>26271</v>
      </c>
      <c r="F1116" s="313">
        <v>-26271</v>
      </c>
      <c r="G1116" s="313">
        <v>31136</v>
      </c>
      <c r="H1116" s="313">
        <v>58380</v>
      </c>
    </row>
    <row r="1117" spans="1:8" x14ac:dyDescent="0.2">
      <c r="A1117" s="313">
        <v>1817950430</v>
      </c>
      <c r="B1117" s="313" t="s">
        <v>999</v>
      </c>
      <c r="C1117" s="314">
        <v>42000</v>
      </c>
      <c r="D1117" s="313">
        <v>42000</v>
      </c>
      <c r="E1117" s="313">
        <v>24694.29</v>
      </c>
      <c r="F1117" s="313">
        <v>-17305.71</v>
      </c>
      <c r="G1117" s="313">
        <v>38914.82</v>
      </c>
      <c r="H1117" s="313">
        <v>38862.589999999997</v>
      </c>
    </row>
    <row r="1118" spans="1:8" x14ac:dyDescent="0.2">
      <c r="A1118" s="313">
        <v>1817950540</v>
      </c>
      <c r="B1118" s="313" t="s">
        <v>1000</v>
      </c>
      <c r="C1118" s="314">
        <v>29744</v>
      </c>
      <c r="D1118" s="313">
        <v>29744</v>
      </c>
      <c r="E1118" s="313">
        <v>15729.41</v>
      </c>
      <c r="F1118" s="313">
        <v>-14014.59</v>
      </c>
      <c r="G1118" s="313">
        <v>39084.78</v>
      </c>
      <c r="H1118" s="313">
        <v>36338.58</v>
      </c>
    </row>
    <row r="1119" spans="1:8" x14ac:dyDescent="0.2">
      <c r="A1119" s="313">
        <v>1817950750</v>
      </c>
      <c r="B1119" s="313" t="s">
        <v>1001</v>
      </c>
      <c r="C1119" s="314">
        <v>75000</v>
      </c>
      <c r="D1119" s="313">
        <v>75000</v>
      </c>
      <c r="E1119" s="313">
        <v>75000</v>
      </c>
      <c r="G1119" s="313">
        <v>74999</v>
      </c>
      <c r="H1119" s="313">
        <v>50637</v>
      </c>
    </row>
    <row r="1120" spans="1:8" x14ac:dyDescent="0.2">
      <c r="A1120" s="313">
        <v>1817950780</v>
      </c>
      <c r="B1120" s="313" t="s">
        <v>172</v>
      </c>
      <c r="G1120" s="313">
        <v>507.9</v>
      </c>
    </row>
    <row r="1121" spans="1:8" x14ac:dyDescent="0.2">
      <c r="A1121" s="313">
        <v>1817950980</v>
      </c>
      <c r="B1121" s="313" t="s">
        <v>1002</v>
      </c>
      <c r="C1121" s="314">
        <v>199289</v>
      </c>
      <c r="D1121" s="313">
        <v>199289</v>
      </c>
      <c r="E1121" s="313">
        <v>169179.94</v>
      </c>
      <c r="F1121" s="313">
        <v>-30109.06</v>
      </c>
      <c r="G1121" s="313">
        <v>302074.09000000003</v>
      </c>
      <c r="H1121" s="313">
        <v>325675.43</v>
      </c>
    </row>
    <row r="1122" spans="1:8" x14ac:dyDescent="0.2">
      <c r="A1122" s="313">
        <v>1817960430</v>
      </c>
      <c r="B1122" s="313" t="s">
        <v>1003</v>
      </c>
      <c r="C1122" s="314">
        <v>11000</v>
      </c>
      <c r="D1122" s="313">
        <v>11000</v>
      </c>
      <c r="E1122" s="313">
        <v>4916.5</v>
      </c>
      <c r="F1122" s="313">
        <v>-6083.5</v>
      </c>
      <c r="G1122" s="313">
        <v>3945.51</v>
      </c>
      <c r="H1122" s="313">
        <v>7434.02</v>
      </c>
    </row>
    <row r="1123" spans="1:8" x14ac:dyDescent="0.2">
      <c r="A1123" s="313">
        <v>1817960540</v>
      </c>
      <c r="B1123" s="313" t="s">
        <v>1004</v>
      </c>
      <c r="C1123" s="314">
        <v>500</v>
      </c>
      <c r="D1123" s="313">
        <v>500</v>
      </c>
      <c r="E1123" s="313">
        <v>360.47</v>
      </c>
      <c r="F1123" s="313">
        <v>-139.53</v>
      </c>
      <c r="G1123" s="313">
        <v>300.95999999999998</v>
      </c>
      <c r="H1123" s="313">
        <v>301.7</v>
      </c>
    </row>
    <row r="1124" spans="1:8" x14ac:dyDescent="0.2">
      <c r="A1124" s="313">
        <v>1817960780</v>
      </c>
      <c r="B1124" s="313" t="s">
        <v>1005</v>
      </c>
      <c r="C1124" s="314">
        <v>4000</v>
      </c>
      <c r="D1124" s="313">
        <v>4000</v>
      </c>
      <c r="E1124" s="313">
        <v>1934.93</v>
      </c>
      <c r="F1124" s="313">
        <v>-2065.0700000000002</v>
      </c>
      <c r="G1124" s="313">
        <v>8100.32</v>
      </c>
      <c r="H1124" s="313">
        <v>4637.75</v>
      </c>
    </row>
    <row r="1125" spans="1:8" x14ac:dyDescent="0.2">
      <c r="A1125" s="313">
        <v>1817960781</v>
      </c>
      <c r="B1125" s="313" t="s">
        <v>1006</v>
      </c>
      <c r="C1125" s="314">
        <v>55000</v>
      </c>
      <c r="D1125" s="313">
        <v>55000</v>
      </c>
      <c r="E1125" s="313">
        <v>47557.46</v>
      </c>
      <c r="F1125" s="313">
        <v>-7442.54</v>
      </c>
      <c r="G1125" s="313">
        <v>50122.080000000002</v>
      </c>
      <c r="H1125" s="313">
        <v>55090.239999999998</v>
      </c>
    </row>
    <row r="1126" spans="1:8" x14ac:dyDescent="0.2">
      <c r="A1126" s="313">
        <v>1819999780</v>
      </c>
      <c r="B1126" s="313" t="s">
        <v>1007</v>
      </c>
      <c r="C1126" s="314">
        <v>30000</v>
      </c>
      <c r="D1126" s="313">
        <v>30000</v>
      </c>
      <c r="E1126" s="313">
        <v>16500</v>
      </c>
      <c r="F1126" s="313">
        <v>-13500</v>
      </c>
      <c r="G1126" s="313">
        <v>5250</v>
      </c>
      <c r="H1126" s="313">
        <v>42064</v>
      </c>
    </row>
    <row r="1127" spans="1:8" x14ac:dyDescent="0.2">
      <c r="A1127" s="313">
        <v>1819999999</v>
      </c>
      <c r="B1127" s="313" t="s">
        <v>173</v>
      </c>
      <c r="E1127" s="313">
        <v>-114896.77</v>
      </c>
      <c r="F1127" s="313">
        <v>-114896.77</v>
      </c>
      <c r="G1127" s="313">
        <v>0</v>
      </c>
      <c r="H1127" s="313">
        <v>6559</v>
      </c>
    </row>
    <row r="1128" spans="1:8" x14ac:dyDescent="0.2">
      <c r="A1128" s="313" t="s">
        <v>277</v>
      </c>
      <c r="B1128" s="313" t="s">
        <v>955</v>
      </c>
      <c r="C1128" s="314">
        <v>80669957</v>
      </c>
      <c r="D1128" s="313">
        <v>80669957</v>
      </c>
      <c r="E1128" s="313">
        <v>65985103.670000002</v>
      </c>
      <c r="F1128" s="313">
        <v>-14684853.33</v>
      </c>
      <c r="G1128" s="313">
        <v>78364906.079999998</v>
      </c>
      <c r="H1128" s="313">
        <v>75678635.590000004</v>
      </c>
    </row>
    <row r="1129" spans="1:8" x14ac:dyDescent="0.2">
      <c r="A1129" s="313" t="s">
        <v>277</v>
      </c>
      <c r="B1129" s="313" t="s">
        <v>916</v>
      </c>
      <c r="C1129" s="314">
        <v>117358748</v>
      </c>
      <c r="D1129" s="313">
        <v>117358748</v>
      </c>
      <c r="E1129" s="313">
        <v>98306039.689999998</v>
      </c>
      <c r="F1129" s="313">
        <v>-19052708.309999999</v>
      </c>
      <c r="G1129" s="313">
        <v>112582942.48999999</v>
      </c>
      <c r="H1129" s="313">
        <v>105624159.73</v>
      </c>
    </row>
    <row r="1130" spans="1:8" x14ac:dyDescent="0.2">
      <c r="A1130" s="313" t="s">
        <v>281</v>
      </c>
      <c r="B1130" s="313" t="s">
        <v>1008</v>
      </c>
    </row>
    <row r="1131" spans="1:8" x14ac:dyDescent="0.2">
      <c r="A1131" s="313" t="s">
        <v>1009</v>
      </c>
      <c r="B1131" s="313" t="s">
        <v>1010</v>
      </c>
    </row>
    <row r="1132" spans="1:8" x14ac:dyDescent="0.2">
      <c r="A1132" s="313">
        <v>1841000110</v>
      </c>
      <c r="B1132" s="313" t="s">
        <v>401</v>
      </c>
      <c r="C1132" s="314">
        <v>8530220</v>
      </c>
      <c r="D1132" s="313">
        <v>8530220</v>
      </c>
      <c r="E1132" s="313">
        <v>7181547.5499999998</v>
      </c>
      <c r="F1132" s="313">
        <v>-1348672.45</v>
      </c>
      <c r="G1132" s="313">
        <v>9096653.3200000003</v>
      </c>
      <c r="H1132" s="313">
        <v>8737003.0700000003</v>
      </c>
    </row>
    <row r="1133" spans="1:8" x14ac:dyDescent="0.2">
      <c r="A1133" s="313">
        <v>1841000210</v>
      </c>
      <c r="B1133" s="313" t="s">
        <v>1011</v>
      </c>
      <c r="C1133" s="314">
        <v>150084</v>
      </c>
      <c r="D1133" s="313">
        <v>150084</v>
      </c>
      <c r="E1133" s="313">
        <v>150566.98000000001</v>
      </c>
      <c r="F1133" s="313">
        <v>482.98</v>
      </c>
      <c r="G1133" s="313">
        <v>682707.99</v>
      </c>
      <c r="H1133" s="313">
        <v>634886.69999999995</v>
      </c>
    </row>
    <row r="1134" spans="1:8" x14ac:dyDescent="0.2">
      <c r="A1134" s="313">
        <v>1842400110</v>
      </c>
      <c r="B1134" s="313" t="s">
        <v>1653</v>
      </c>
      <c r="C1134" s="314">
        <v>120000</v>
      </c>
      <c r="D1134" s="313">
        <v>120000</v>
      </c>
      <c r="E1134" s="313">
        <v>96373.15</v>
      </c>
      <c r="F1134" s="313">
        <v>-23626.85</v>
      </c>
    </row>
    <row r="1135" spans="1:8" x14ac:dyDescent="0.2">
      <c r="A1135" s="313">
        <v>1842410110</v>
      </c>
      <c r="B1135" s="313" t="s">
        <v>1906</v>
      </c>
      <c r="C1135" s="314">
        <v>228123</v>
      </c>
      <c r="D1135" s="313">
        <v>228123</v>
      </c>
      <c r="E1135" s="313">
        <v>315762.82</v>
      </c>
      <c r="F1135" s="313">
        <v>87639.82</v>
      </c>
    </row>
    <row r="1136" spans="1:8" x14ac:dyDescent="0.2">
      <c r="A1136" s="313">
        <v>1843500210</v>
      </c>
      <c r="B1136" s="313" t="s">
        <v>1483</v>
      </c>
      <c r="C1136" s="314">
        <v>160005</v>
      </c>
      <c r="D1136" s="313">
        <v>160005</v>
      </c>
      <c r="E1136" s="313">
        <v>138604.76999999999</v>
      </c>
      <c r="F1136" s="313">
        <v>-21400.23</v>
      </c>
      <c r="G1136" s="313">
        <v>112297.43</v>
      </c>
      <c r="H1136" s="313">
        <v>88240.97</v>
      </c>
    </row>
    <row r="1137" spans="1:8" x14ac:dyDescent="0.2">
      <c r="A1137" s="313">
        <v>1843510110</v>
      </c>
      <c r="B1137" s="313" t="s">
        <v>1659</v>
      </c>
      <c r="C1137" s="314">
        <v>174214</v>
      </c>
      <c r="D1137" s="313">
        <v>174214</v>
      </c>
      <c r="E1137" s="313">
        <v>163372.32</v>
      </c>
      <c r="F1137" s="313">
        <v>-10841.68</v>
      </c>
    </row>
    <row r="1138" spans="1:8" x14ac:dyDescent="0.2">
      <c r="A1138" s="313">
        <v>1843800110</v>
      </c>
      <c r="B1138" s="313" t="s">
        <v>1658</v>
      </c>
      <c r="C1138" s="314">
        <v>262421</v>
      </c>
      <c r="D1138" s="313">
        <v>262421</v>
      </c>
      <c r="E1138" s="313">
        <v>296414.18</v>
      </c>
      <c r="F1138" s="313">
        <v>33993.18</v>
      </c>
      <c r="G1138" s="313">
        <v>103389.91</v>
      </c>
      <c r="H1138" s="313">
        <v>110759.56</v>
      </c>
    </row>
    <row r="1139" spans="1:8" x14ac:dyDescent="0.2">
      <c r="A1139" s="313">
        <v>1845200110</v>
      </c>
      <c r="B1139" s="313" t="s">
        <v>1013</v>
      </c>
      <c r="C1139" s="314">
        <v>354670</v>
      </c>
      <c r="D1139" s="313">
        <v>354670</v>
      </c>
      <c r="E1139" s="313">
        <v>298194.11</v>
      </c>
      <c r="F1139" s="313">
        <v>-56475.89</v>
      </c>
      <c r="G1139" s="313">
        <v>235343.4</v>
      </c>
      <c r="H1139" s="313">
        <v>94044.19</v>
      </c>
    </row>
    <row r="1140" spans="1:8" x14ac:dyDescent="0.2">
      <c r="A1140" s="313">
        <v>1845200210</v>
      </c>
      <c r="B1140" s="313" t="s">
        <v>1014</v>
      </c>
      <c r="C1140" s="314">
        <v>91522</v>
      </c>
      <c r="D1140" s="313">
        <v>91522</v>
      </c>
      <c r="E1140" s="313">
        <v>65712.759999999995</v>
      </c>
      <c r="F1140" s="313">
        <v>-25809.24</v>
      </c>
      <c r="G1140" s="313">
        <v>151254.42000000001</v>
      </c>
      <c r="H1140" s="313">
        <v>86180.479999999996</v>
      </c>
    </row>
    <row r="1141" spans="1:8" x14ac:dyDescent="0.2">
      <c r="A1141" s="313">
        <v>1846700210</v>
      </c>
      <c r="B1141" s="313" t="s">
        <v>1657</v>
      </c>
      <c r="C1141" s="314">
        <v>130000</v>
      </c>
      <c r="D1141" s="313">
        <v>130000</v>
      </c>
      <c r="E1141" s="313">
        <v>130604.14</v>
      </c>
      <c r="F1141" s="313">
        <v>604.14</v>
      </c>
    </row>
    <row r="1142" spans="1:8" x14ac:dyDescent="0.2">
      <c r="A1142" s="313">
        <v>1847100110</v>
      </c>
      <c r="B1142" s="313" t="s">
        <v>1655</v>
      </c>
      <c r="C1142" s="314">
        <v>237571</v>
      </c>
      <c r="D1142" s="313">
        <v>237571</v>
      </c>
      <c r="E1142" s="313">
        <v>287087.78000000003</v>
      </c>
      <c r="F1142" s="313">
        <v>49516.78</v>
      </c>
    </row>
    <row r="1143" spans="1:8" x14ac:dyDescent="0.2">
      <c r="A1143" s="313">
        <v>1847100210</v>
      </c>
      <c r="B1143" s="313" t="s">
        <v>1939</v>
      </c>
      <c r="C1143" s="314">
        <v>90059</v>
      </c>
      <c r="D1143" s="313">
        <v>90059</v>
      </c>
      <c r="E1143" s="313">
        <v>45566.23</v>
      </c>
      <c r="F1143" s="313">
        <v>-44492.77</v>
      </c>
    </row>
    <row r="1144" spans="1:8" x14ac:dyDescent="0.2">
      <c r="A1144" s="313">
        <v>1847110110</v>
      </c>
      <c r="B1144" s="313" t="s">
        <v>2063</v>
      </c>
      <c r="E1144" s="313">
        <v>32515.62</v>
      </c>
      <c r="F1144" s="313">
        <v>32515.62</v>
      </c>
    </row>
    <row r="1145" spans="1:8" x14ac:dyDescent="0.2">
      <c r="A1145" s="313">
        <v>1847401110</v>
      </c>
      <c r="B1145" s="313" t="s">
        <v>1015</v>
      </c>
      <c r="C1145" s="314">
        <v>264380</v>
      </c>
      <c r="D1145" s="313">
        <v>264380</v>
      </c>
      <c r="E1145" s="313">
        <v>233369.94</v>
      </c>
      <c r="F1145" s="313">
        <v>-31010.06</v>
      </c>
      <c r="G1145" s="313">
        <v>262672.15999999997</v>
      </c>
      <c r="H1145" s="313">
        <v>254658.68</v>
      </c>
    </row>
    <row r="1146" spans="1:8" x14ac:dyDescent="0.2">
      <c r="A1146" s="313">
        <v>1847402110</v>
      </c>
      <c r="B1146" s="313" t="s">
        <v>1016</v>
      </c>
      <c r="C1146" s="314">
        <v>184812</v>
      </c>
      <c r="D1146" s="313">
        <v>184812</v>
      </c>
      <c r="E1146" s="313">
        <v>159705.95000000001</v>
      </c>
      <c r="F1146" s="313">
        <v>-25106.05</v>
      </c>
      <c r="G1146" s="313">
        <v>181778.91</v>
      </c>
      <c r="H1146" s="313">
        <v>143120.74</v>
      </c>
    </row>
    <row r="1147" spans="1:8" x14ac:dyDescent="0.2">
      <c r="A1147" s="313">
        <v>1847404110</v>
      </c>
      <c r="B1147" s="313" t="s">
        <v>1017</v>
      </c>
      <c r="C1147" s="314">
        <v>123709</v>
      </c>
      <c r="D1147" s="313">
        <v>123709</v>
      </c>
      <c r="E1147" s="313">
        <v>123636.63</v>
      </c>
      <c r="F1147" s="313">
        <v>-72.37</v>
      </c>
      <c r="G1147" s="313">
        <v>130320.75</v>
      </c>
      <c r="H1147" s="313">
        <v>114103.4</v>
      </c>
    </row>
    <row r="1148" spans="1:8" x14ac:dyDescent="0.2">
      <c r="A1148" s="313">
        <v>1847405110</v>
      </c>
      <c r="B1148" s="313" t="s">
        <v>1018</v>
      </c>
      <c r="H1148" s="313">
        <v>418.86</v>
      </c>
    </row>
    <row r="1149" spans="1:8" x14ac:dyDescent="0.2">
      <c r="A1149" s="313">
        <v>1847411110</v>
      </c>
      <c r="B1149" s="313" t="s">
        <v>1019</v>
      </c>
      <c r="C1149" s="314">
        <v>112857</v>
      </c>
      <c r="D1149" s="313">
        <v>112857</v>
      </c>
      <c r="E1149" s="313">
        <v>98697.37</v>
      </c>
      <c r="F1149" s="313">
        <v>-14159.63</v>
      </c>
      <c r="G1149" s="313">
        <v>110650.48</v>
      </c>
      <c r="H1149" s="313">
        <v>106258.23</v>
      </c>
    </row>
    <row r="1150" spans="1:8" x14ac:dyDescent="0.2">
      <c r="A1150" s="313">
        <v>1847411210</v>
      </c>
      <c r="B1150" s="313" t="s">
        <v>1477</v>
      </c>
      <c r="C1150" s="314">
        <v>36864</v>
      </c>
      <c r="D1150" s="313">
        <v>36864</v>
      </c>
      <c r="E1150" s="313">
        <v>34485.699999999997</v>
      </c>
      <c r="F1150" s="313">
        <v>-2378.3000000000002</v>
      </c>
      <c r="G1150" s="313">
        <v>32073.84</v>
      </c>
      <c r="H1150" s="313">
        <v>18363.419999999998</v>
      </c>
    </row>
    <row r="1151" spans="1:8" x14ac:dyDescent="0.2">
      <c r="A1151" s="313">
        <v>1847428110</v>
      </c>
      <c r="B1151" s="313" t="s">
        <v>919</v>
      </c>
      <c r="C1151" s="314">
        <v>467250</v>
      </c>
      <c r="D1151" s="313">
        <v>467250</v>
      </c>
      <c r="E1151" s="313">
        <v>466445.08</v>
      </c>
      <c r="F1151" s="313">
        <v>-804.92</v>
      </c>
      <c r="G1151" s="313">
        <v>445156.74</v>
      </c>
      <c r="H1151" s="313">
        <v>408551.36</v>
      </c>
    </row>
    <row r="1152" spans="1:8" x14ac:dyDescent="0.2">
      <c r="A1152" s="313">
        <v>1848800110</v>
      </c>
      <c r="B1152" s="313" t="s">
        <v>523</v>
      </c>
      <c r="C1152" s="314">
        <v>1661102</v>
      </c>
      <c r="D1152" s="313">
        <v>1661102</v>
      </c>
      <c r="E1152" s="313">
        <v>1332868.33</v>
      </c>
      <c r="F1152" s="313">
        <v>-328233.67</v>
      </c>
      <c r="G1152" s="313">
        <v>1374576.13</v>
      </c>
      <c r="H1152" s="313">
        <v>1286331.57</v>
      </c>
    </row>
    <row r="1153" spans="1:8" x14ac:dyDescent="0.2">
      <c r="A1153" s="313">
        <v>1848801210</v>
      </c>
      <c r="B1153" s="313" t="s">
        <v>1020</v>
      </c>
      <c r="G1153" s="313">
        <v>1217.4000000000001</v>
      </c>
      <c r="H1153" s="313">
        <v>27078.11</v>
      </c>
    </row>
    <row r="1154" spans="1:8" x14ac:dyDescent="0.2">
      <c r="A1154" s="313" t="s">
        <v>277</v>
      </c>
      <c r="B1154" s="313" t="s">
        <v>1010</v>
      </c>
      <c r="C1154" s="314">
        <v>13379863</v>
      </c>
      <c r="D1154" s="313">
        <v>13379863</v>
      </c>
      <c r="E1154" s="313">
        <v>11651531.41</v>
      </c>
      <c r="F1154" s="313">
        <v>-1728331.59</v>
      </c>
      <c r="G1154" s="313">
        <v>12920092.880000001</v>
      </c>
      <c r="H1154" s="313">
        <v>12109999.34</v>
      </c>
    </row>
    <row r="1155" spans="1:8" x14ac:dyDescent="0.2">
      <c r="A1155" s="313" t="s">
        <v>1021</v>
      </c>
      <c r="B1155" s="313" t="s">
        <v>1022</v>
      </c>
    </row>
    <row r="1156" spans="1:8" x14ac:dyDescent="0.2">
      <c r="A1156" s="313">
        <v>1840000910</v>
      </c>
      <c r="B1156" s="313" t="s">
        <v>741</v>
      </c>
      <c r="C1156" s="314">
        <v>203287</v>
      </c>
      <c r="D1156" s="313">
        <v>203287</v>
      </c>
      <c r="E1156" s="313">
        <v>203287</v>
      </c>
      <c r="H1156" s="313">
        <v>15590</v>
      </c>
    </row>
    <row r="1157" spans="1:8" x14ac:dyDescent="0.2">
      <c r="A1157" s="313">
        <v>1841000511</v>
      </c>
      <c r="B1157" s="313" t="s">
        <v>790</v>
      </c>
      <c r="C1157" s="314">
        <v>11000</v>
      </c>
      <c r="D1157" s="313">
        <v>11000</v>
      </c>
      <c r="E1157" s="313">
        <v>5323.84</v>
      </c>
      <c r="F1157" s="313">
        <v>-5676.16</v>
      </c>
      <c r="G1157" s="313">
        <v>9492.66</v>
      </c>
      <c r="H1157" s="313">
        <v>6698.7</v>
      </c>
    </row>
    <row r="1158" spans="1:8" x14ac:dyDescent="0.2">
      <c r="A1158" s="313">
        <v>1841000512</v>
      </c>
      <c r="B1158" s="313" t="s">
        <v>183</v>
      </c>
      <c r="C1158" s="314">
        <v>502</v>
      </c>
      <c r="D1158" s="313">
        <v>502</v>
      </c>
      <c r="F1158" s="313">
        <v>-502</v>
      </c>
    </row>
    <row r="1159" spans="1:8" x14ac:dyDescent="0.2">
      <c r="A1159" s="313">
        <v>1841000560</v>
      </c>
      <c r="B1159" s="313" t="s">
        <v>966</v>
      </c>
      <c r="C1159" s="314">
        <v>12600</v>
      </c>
      <c r="D1159" s="313">
        <v>12600</v>
      </c>
      <c r="E1159" s="313">
        <v>9157.19</v>
      </c>
      <c r="F1159" s="313">
        <v>-3442.81</v>
      </c>
      <c r="G1159" s="313">
        <v>15986.48</v>
      </c>
      <c r="H1159" s="313">
        <v>17323.41</v>
      </c>
    </row>
    <row r="1160" spans="1:8" x14ac:dyDescent="0.2">
      <c r="A1160" s="313">
        <v>1841000570</v>
      </c>
      <c r="B1160" s="313" t="s">
        <v>1023</v>
      </c>
      <c r="C1160" s="314">
        <v>18144</v>
      </c>
      <c r="D1160" s="313">
        <v>18144</v>
      </c>
      <c r="E1160" s="313">
        <v>10811.97</v>
      </c>
      <c r="F1160" s="313">
        <v>-7332.03</v>
      </c>
      <c r="G1160" s="313">
        <v>14080.49</v>
      </c>
      <c r="H1160" s="313">
        <v>9886.32</v>
      </c>
    </row>
    <row r="1161" spans="1:8" x14ac:dyDescent="0.2">
      <c r="A1161" s="313">
        <v>1841000571</v>
      </c>
      <c r="B1161" s="313" t="s">
        <v>590</v>
      </c>
      <c r="G1161" s="313">
        <v>280</v>
      </c>
      <c r="H1161" s="313">
        <v>7751.22</v>
      </c>
    </row>
    <row r="1162" spans="1:8" x14ac:dyDescent="0.2">
      <c r="A1162" s="313">
        <v>1841000580</v>
      </c>
      <c r="B1162" s="313" t="s">
        <v>835</v>
      </c>
      <c r="C1162" s="314">
        <v>64546</v>
      </c>
      <c r="D1162" s="313">
        <v>64546</v>
      </c>
      <c r="E1162" s="313">
        <v>49535.98</v>
      </c>
      <c r="F1162" s="313">
        <v>-15010.02</v>
      </c>
      <c r="G1162" s="313">
        <v>71997.38</v>
      </c>
      <c r="H1162" s="313">
        <v>76048.58</v>
      </c>
    </row>
    <row r="1163" spans="1:8" x14ac:dyDescent="0.2">
      <c r="A1163" s="313">
        <v>1841000581</v>
      </c>
      <c r="B1163" s="313" t="s">
        <v>1905</v>
      </c>
      <c r="C1163" s="314">
        <v>9600</v>
      </c>
      <c r="D1163" s="313">
        <v>9600</v>
      </c>
      <c r="E1163" s="313">
        <v>7122.29</v>
      </c>
      <c r="F1163" s="313">
        <v>-2477.71</v>
      </c>
    </row>
    <row r="1164" spans="1:8" x14ac:dyDescent="0.2">
      <c r="A1164" s="313">
        <v>1841000750</v>
      </c>
      <c r="B1164" s="313" t="s">
        <v>1024</v>
      </c>
      <c r="C1164" s="314">
        <v>7000</v>
      </c>
      <c r="D1164" s="313">
        <v>7000</v>
      </c>
      <c r="E1164" s="313">
        <v>7031.78</v>
      </c>
      <c r="F1164" s="313">
        <v>31.78</v>
      </c>
      <c r="G1164" s="313">
        <v>6198.57</v>
      </c>
      <c r="H1164" s="313">
        <v>5061.33</v>
      </c>
    </row>
    <row r="1165" spans="1:8" x14ac:dyDescent="0.2">
      <c r="A1165" s="313">
        <v>1841000780</v>
      </c>
      <c r="B1165" s="313" t="s">
        <v>1046</v>
      </c>
      <c r="C1165" s="314">
        <v>312</v>
      </c>
      <c r="D1165" s="313">
        <v>312</v>
      </c>
      <c r="F1165" s="313">
        <v>-312</v>
      </c>
      <c r="G1165" s="313">
        <v>77.22</v>
      </c>
      <c r="H1165" s="313">
        <v>311.52</v>
      </c>
    </row>
    <row r="1166" spans="1:8" x14ac:dyDescent="0.2">
      <c r="A1166" s="313">
        <v>1841000843</v>
      </c>
      <c r="B1166" s="313" t="s">
        <v>402</v>
      </c>
      <c r="C1166" s="314">
        <v>0</v>
      </c>
      <c r="D1166" s="313">
        <v>0</v>
      </c>
      <c r="G1166" s="313">
        <v>13558</v>
      </c>
      <c r="H1166" s="313">
        <v>20052.64</v>
      </c>
    </row>
    <row r="1167" spans="1:8" x14ac:dyDescent="0.2">
      <c r="A1167" s="313">
        <v>1841000846</v>
      </c>
      <c r="B1167" s="313" t="s">
        <v>404</v>
      </c>
      <c r="C1167" s="314">
        <v>10000</v>
      </c>
      <c r="D1167" s="313">
        <v>10000</v>
      </c>
      <c r="E1167" s="313">
        <v>5018.58</v>
      </c>
      <c r="F1167" s="313">
        <v>-4981.42</v>
      </c>
      <c r="G1167" s="313">
        <v>23813.17</v>
      </c>
      <c r="H1167" s="313">
        <v>55127.18</v>
      </c>
    </row>
    <row r="1168" spans="1:8" x14ac:dyDescent="0.2">
      <c r="A1168" s="313">
        <v>1841000910</v>
      </c>
      <c r="B1168" s="313" t="s">
        <v>704</v>
      </c>
      <c r="C1168" s="314">
        <v>19134</v>
      </c>
      <c r="D1168" s="313">
        <v>19134</v>
      </c>
      <c r="E1168" s="313">
        <v>19134</v>
      </c>
      <c r="G1168" s="313">
        <v>68000</v>
      </c>
      <c r="H1168" s="313">
        <v>67113.149999999994</v>
      </c>
    </row>
    <row r="1169" spans="1:8" x14ac:dyDescent="0.2">
      <c r="A1169" s="313">
        <v>1841000980</v>
      </c>
      <c r="B1169" s="313" t="s">
        <v>652</v>
      </c>
      <c r="C1169" s="314">
        <v>200000</v>
      </c>
      <c r="D1169" s="313">
        <v>200000</v>
      </c>
      <c r="E1169" s="313">
        <v>147836.75</v>
      </c>
      <c r="F1169" s="313">
        <v>-52163.25</v>
      </c>
      <c r="G1169" s="313">
        <v>174877.5</v>
      </c>
      <c r="H1169" s="313">
        <v>191532</v>
      </c>
    </row>
    <row r="1170" spans="1:8" x14ac:dyDescent="0.2">
      <c r="A1170" s="313">
        <v>1841000981</v>
      </c>
      <c r="B1170" s="313" t="s">
        <v>1463</v>
      </c>
      <c r="C1170" s="314">
        <v>450000</v>
      </c>
      <c r="D1170" s="313">
        <v>450000</v>
      </c>
      <c r="E1170" s="313">
        <v>363161.65</v>
      </c>
      <c r="F1170" s="313">
        <v>-86838.35</v>
      </c>
      <c r="G1170" s="313">
        <v>378888.02</v>
      </c>
      <c r="H1170" s="313">
        <v>316073.99</v>
      </c>
    </row>
    <row r="1171" spans="1:8" x14ac:dyDescent="0.2">
      <c r="A1171" s="313">
        <v>1841000982</v>
      </c>
      <c r="B1171" s="313" t="s">
        <v>1486</v>
      </c>
      <c r="H1171" s="313">
        <v>25000</v>
      </c>
    </row>
    <row r="1172" spans="1:8" x14ac:dyDescent="0.2">
      <c r="A1172" s="313">
        <v>1841100750</v>
      </c>
      <c r="B1172" s="313" t="s">
        <v>714</v>
      </c>
      <c r="C1172" s="314">
        <v>30000</v>
      </c>
      <c r="D1172" s="313">
        <v>30000</v>
      </c>
      <c r="E1172" s="313">
        <v>18446.95</v>
      </c>
      <c r="F1172" s="313">
        <v>-11553.05</v>
      </c>
    </row>
    <row r="1173" spans="1:8" x14ac:dyDescent="0.2">
      <c r="A1173" s="313">
        <v>1842200840</v>
      </c>
      <c r="B1173" s="313" t="s">
        <v>406</v>
      </c>
      <c r="C1173" s="314">
        <v>150000</v>
      </c>
      <c r="D1173" s="313">
        <v>150000</v>
      </c>
      <c r="E1173" s="313">
        <v>147376</v>
      </c>
      <c r="F1173" s="313">
        <v>-2624</v>
      </c>
      <c r="G1173" s="313">
        <v>174651</v>
      </c>
      <c r="H1173" s="313">
        <v>174308</v>
      </c>
    </row>
    <row r="1174" spans="1:8" x14ac:dyDescent="0.2">
      <c r="A1174" s="313">
        <v>1842200843</v>
      </c>
      <c r="B1174" s="313" t="s">
        <v>407</v>
      </c>
      <c r="C1174" s="314">
        <v>160000</v>
      </c>
      <c r="D1174" s="313">
        <v>160000</v>
      </c>
      <c r="E1174" s="313">
        <v>141452</v>
      </c>
      <c r="F1174" s="313">
        <v>-18548</v>
      </c>
      <c r="G1174" s="313">
        <v>125246</v>
      </c>
      <c r="H1174" s="313">
        <v>190114</v>
      </c>
    </row>
    <row r="1175" spans="1:8" x14ac:dyDescent="0.2">
      <c r="A1175" s="313">
        <v>1842200844</v>
      </c>
      <c r="B1175" s="313" t="s">
        <v>1026</v>
      </c>
      <c r="C1175" s="314">
        <v>27600</v>
      </c>
      <c r="D1175" s="313">
        <v>27600</v>
      </c>
      <c r="E1175" s="313">
        <v>78653</v>
      </c>
      <c r="F1175" s="313">
        <v>51053</v>
      </c>
      <c r="G1175" s="313">
        <v>9125</v>
      </c>
      <c r="H1175" s="313">
        <v>19386</v>
      </c>
    </row>
    <row r="1176" spans="1:8" x14ac:dyDescent="0.2">
      <c r="A1176" s="313">
        <v>1842200846</v>
      </c>
      <c r="B1176" s="313" t="s">
        <v>409</v>
      </c>
      <c r="C1176" s="314">
        <v>190168</v>
      </c>
      <c r="D1176" s="313">
        <v>190168</v>
      </c>
      <c r="E1176" s="313">
        <v>17877</v>
      </c>
      <c r="F1176" s="313">
        <v>-172291</v>
      </c>
      <c r="G1176" s="313">
        <v>301307</v>
      </c>
      <c r="H1176" s="313">
        <v>-24655</v>
      </c>
    </row>
    <row r="1177" spans="1:8" x14ac:dyDescent="0.2">
      <c r="A1177" s="313">
        <v>1842200847</v>
      </c>
      <c r="B1177" s="313" t="s">
        <v>1485</v>
      </c>
      <c r="E1177" s="313">
        <v>11076</v>
      </c>
      <c r="F1177" s="313">
        <v>11076</v>
      </c>
      <c r="H1177" s="313">
        <v>4382</v>
      </c>
    </row>
    <row r="1178" spans="1:8" x14ac:dyDescent="0.2">
      <c r="A1178" s="313">
        <v>1842400841</v>
      </c>
      <c r="B1178" s="313" t="s">
        <v>410</v>
      </c>
      <c r="C1178" s="314">
        <v>9600</v>
      </c>
      <c r="D1178" s="313">
        <v>9600</v>
      </c>
      <c r="E1178" s="313">
        <v>0</v>
      </c>
      <c r="F1178" s="313">
        <v>-9600</v>
      </c>
      <c r="G1178" s="313">
        <v>6000</v>
      </c>
      <c r="H1178" s="313">
        <v>5673.09</v>
      </c>
    </row>
    <row r="1179" spans="1:8" x14ac:dyDescent="0.2">
      <c r="A1179" s="313">
        <v>1842400844</v>
      </c>
      <c r="B1179" s="313" t="s">
        <v>1027</v>
      </c>
      <c r="C1179" s="314">
        <v>85000</v>
      </c>
      <c r="D1179" s="313">
        <v>85000</v>
      </c>
      <c r="E1179" s="313">
        <v>60782</v>
      </c>
      <c r="F1179" s="313">
        <v>-24218</v>
      </c>
      <c r="G1179" s="313">
        <v>49039</v>
      </c>
      <c r="H1179" s="313">
        <v>36000</v>
      </c>
    </row>
    <row r="1180" spans="1:8" x14ac:dyDescent="0.2">
      <c r="A1180" s="313">
        <v>1842400845</v>
      </c>
      <c r="B1180" s="313" t="s">
        <v>411</v>
      </c>
      <c r="C1180" s="314">
        <v>123000</v>
      </c>
      <c r="D1180" s="313">
        <v>123000</v>
      </c>
      <c r="E1180" s="313">
        <v>54902.080000000002</v>
      </c>
      <c r="F1180" s="313">
        <v>-68097.919999999998</v>
      </c>
      <c r="G1180" s="313">
        <v>103991.21</v>
      </c>
      <c r="H1180" s="313">
        <v>76121.73</v>
      </c>
    </row>
    <row r="1181" spans="1:8" x14ac:dyDescent="0.2">
      <c r="A1181" s="313">
        <v>1842400846</v>
      </c>
      <c r="B1181" s="313" t="s">
        <v>1408</v>
      </c>
      <c r="E1181" s="313">
        <v>4041</v>
      </c>
      <c r="F1181" s="313">
        <v>4041</v>
      </c>
    </row>
    <row r="1182" spans="1:8" x14ac:dyDescent="0.2">
      <c r="A1182" s="313">
        <v>1842400847</v>
      </c>
      <c r="B1182" s="313" t="s">
        <v>1592</v>
      </c>
      <c r="H1182" s="313">
        <v>-5100</v>
      </c>
    </row>
    <row r="1183" spans="1:8" x14ac:dyDescent="0.2">
      <c r="A1183" s="313">
        <v>1842401840</v>
      </c>
      <c r="B1183" s="313" t="s">
        <v>412</v>
      </c>
      <c r="C1183" s="314">
        <v>162000</v>
      </c>
      <c r="D1183" s="313">
        <v>162000</v>
      </c>
      <c r="E1183" s="313">
        <v>162000</v>
      </c>
      <c r="G1183" s="313">
        <v>172000</v>
      </c>
      <c r="H1183" s="313">
        <v>162000</v>
      </c>
    </row>
    <row r="1184" spans="1:8" x14ac:dyDescent="0.2">
      <c r="A1184" s="313">
        <v>1842401841</v>
      </c>
      <c r="B1184" s="313" t="s">
        <v>1652</v>
      </c>
      <c r="C1184" s="314">
        <v>230000</v>
      </c>
      <c r="D1184" s="313">
        <v>230000</v>
      </c>
      <c r="E1184" s="313">
        <v>105715.28</v>
      </c>
      <c r="F1184" s="313">
        <v>-124284.72</v>
      </c>
      <c r="G1184" s="313">
        <v>82576.22</v>
      </c>
    </row>
    <row r="1185" spans="1:8" x14ac:dyDescent="0.2">
      <c r="A1185" s="313">
        <v>1843500840</v>
      </c>
      <c r="B1185" s="313" t="s">
        <v>85</v>
      </c>
      <c r="E1185" s="313">
        <v>13014</v>
      </c>
      <c r="F1185" s="313">
        <v>13014</v>
      </c>
    </row>
    <row r="1186" spans="1:8" x14ac:dyDescent="0.2">
      <c r="A1186" s="313">
        <v>1843500841</v>
      </c>
      <c r="B1186" s="313" t="s">
        <v>413</v>
      </c>
      <c r="C1186" s="314">
        <v>285301</v>
      </c>
      <c r="D1186" s="313">
        <v>285301</v>
      </c>
      <c r="E1186" s="313">
        <v>235070</v>
      </c>
      <c r="F1186" s="313">
        <v>-50231</v>
      </c>
      <c r="G1186" s="313">
        <v>130983</v>
      </c>
      <c r="H1186" s="313">
        <v>256470</v>
      </c>
    </row>
    <row r="1187" spans="1:8" x14ac:dyDescent="0.2">
      <c r="A1187" s="313">
        <v>1843500842</v>
      </c>
      <c r="B1187" s="313" t="s">
        <v>414</v>
      </c>
      <c r="C1187" s="314">
        <v>480000</v>
      </c>
      <c r="D1187" s="313">
        <v>480000</v>
      </c>
      <c r="E1187" s="313">
        <v>383071</v>
      </c>
      <c r="F1187" s="313">
        <v>-96929</v>
      </c>
      <c r="G1187" s="313">
        <v>480801.72</v>
      </c>
      <c r="H1187" s="313">
        <v>713589.77</v>
      </c>
    </row>
    <row r="1188" spans="1:8" x14ac:dyDescent="0.2">
      <c r="A1188" s="313">
        <v>1843500844</v>
      </c>
      <c r="B1188" s="313" t="s">
        <v>415</v>
      </c>
      <c r="C1188" s="314">
        <v>90000</v>
      </c>
      <c r="D1188" s="313">
        <v>90000</v>
      </c>
      <c r="E1188" s="313">
        <v>88677.2</v>
      </c>
      <c r="F1188" s="313">
        <v>-1322.8</v>
      </c>
      <c r="G1188" s="313">
        <v>53660</v>
      </c>
      <c r="H1188" s="313">
        <v>46394.58</v>
      </c>
    </row>
    <row r="1189" spans="1:8" x14ac:dyDescent="0.2">
      <c r="A1189" s="313">
        <v>1843500845</v>
      </c>
      <c r="B1189" s="313" t="s">
        <v>416</v>
      </c>
      <c r="C1189" s="314">
        <v>105000</v>
      </c>
      <c r="D1189" s="313">
        <v>105000</v>
      </c>
      <c r="E1189" s="313">
        <v>77101.08</v>
      </c>
      <c r="F1189" s="313">
        <v>-27898.92</v>
      </c>
      <c r="G1189" s="313">
        <v>66734.84</v>
      </c>
      <c r="H1189" s="313">
        <v>156185.5</v>
      </c>
    </row>
    <row r="1190" spans="1:8" x14ac:dyDescent="0.2">
      <c r="A1190" s="313">
        <v>1843500847</v>
      </c>
      <c r="B1190" s="313" t="s">
        <v>417</v>
      </c>
      <c r="C1190" s="314">
        <v>20000</v>
      </c>
      <c r="D1190" s="313">
        <v>20000</v>
      </c>
      <c r="E1190" s="313">
        <v>6954</v>
      </c>
      <c r="F1190" s="313">
        <v>-13046</v>
      </c>
      <c r="G1190" s="313">
        <v>22645</v>
      </c>
      <c r="H1190" s="313">
        <v>11026</v>
      </c>
    </row>
    <row r="1191" spans="1:8" x14ac:dyDescent="0.2">
      <c r="A1191" s="313">
        <v>1843500849</v>
      </c>
      <c r="B1191" s="313" t="s">
        <v>418</v>
      </c>
      <c r="C1191" s="314">
        <v>118000</v>
      </c>
      <c r="D1191" s="313">
        <v>118000</v>
      </c>
      <c r="E1191" s="313">
        <v>184446</v>
      </c>
      <c r="F1191" s="313">
        <v>66446</v>
      </c>
      <c r="G1191" s="313">
        <v>141302</v>
      </c>
      <c r="H1191" s="313">
        <v>109512</v>
      </c>
    </row>
    <row r="1192" spans="1:8" x14ac:dyDescent="0.2">
      <c r="A1192" s="313">
        <v>1843500850</v>
      </c>
      <c r="B1192" s="313" t="s">
        <v>58</v>
      </c>
      <c r="C1192" s="314">
        <v>5000</v>
      </c>
      <c r="D1192" s="313">
        <v>5000</v>
      </c>
      <c r="F1192" s="313">
        <v>-5000</v>
      </c>
      <c r="G1192" s="313">
        <v>5034.2700000000004</v>
      </c>
      <c r="H1192" s="313">
        <v>4000</v>
      </c>
    </row>
    <row r="1193" spans="1:8" x14ac:dyDescent="0.2">
      <c r="A1193" s="313">
        <v>1843500851</v>
      </c>
      <c r="B1193" s="313" t="s">
        <v>1593</v>
      </c>
      <c r="C1193" s="314">
        <v>5000</v>
      </c>
      <c r="D1193" s="313">
        <v>5000</v>
      </c>
      <c r="E1193" s="313">
        <v>2110</v>
      </c>
      <c r="F1193" s="313">
        <v>-2890</v>
      </c>
      <c r="G1193" s="313">
        <v>5280</v>
      </c>
    </row>
    <row r="1194" spans="1:8" x14ac:dyDescent="0.2">
      <c r="A1194" s="313">
        <v>1843800840</v>
      </c>
      <c r="B1194" s="313" t="s">
        <v>419</v>
      </c>
      <c r="C1194" s="314">
        <v>5221704</v>
      </c>
      <c r="D1194" s="313">
        <v>5221704</v>
      </c>
      <c r="E1194" s="313">
        <v>4048091</v>
      </c>
      <c r="F1194" s="313">
        <v>-1173613</v>
      </c>
      <c r="G1194" s="313">
        <v>5254888</v>
      </c>
      <c r="H1194" s="313">
        <v>4977220</v>
      </c>
    </row>
    <row r="1195" spans="1:8" x14ac:dyDescent="0.2">
      <c r="A1195" s="313">
        <v>1843800842</v>
      </c>
      <c r="B1195" s="313" t="s">
        <v>190</v>
      </c>
      <c r="E1195" s="313">
        <v>12992</v>
      </c>
      <c r="F1195" s="313">
        <v>12992</v>
      </c>
      <c r="G1195" s="313">
        <v>139709</v>
      </c>
      <c r="H1195" s="313">
        <v>0</v>
      </c>
    </row>
    <row r="1196" spans="1:8" x14ac:dyDescent="0.2">
      <c r="A1196" s="313">
        <v>1843800845</v>
      </c>
      <c r="B1196" s="313" t="s">
        <v>420</v>
      </c>
      <c r="C1196" s="314">
        <v>320000</v>
      </c>
      <c r="D1196" s="313">
        <v>320000</v>
      </c>
      <c r="E1196" s="313">
        <v>90337.7</v>
      </c>
      <c r="F1196" s="313">
        <v>-229662.3</v>
      </c>
      <c r="G1196" s="313">
        <v>256085.45</v>
      </c>
      <c r="H1196" s="313">
        <v>253399</v>
      </c>
    </row>
    <row r="1197" spans="1:8" x14ac:dyDescent="0.2">
      <c r="A1197" s="313">
        <v>1843900840</v>
      </c>
      <c r="B1197" s="313" t="s">
        <v>421</v>
      </c>
      <c r="C1197" s="314">
        <v>3168000</v>
      </c>
      <c r="D1197" s="313">
        <v>3168000</v>
      </c>
      <c r="E1197" s="313">
        <v>2804774</v>
      </c>
      <c r="F1197" s="313">
        <v>-363226</v>
      </c>
      <c r="G1197" s="313">
        <v>2893596</v>
      </c>
      <c r="H1197" s="313">
        <v>2795935</v>
      </c>
    </row>
    <row r="1198" spans="1:8" x14ac:dyDescent="0.2">
      <c r="A1198" s="313">
        <v>1844000430</v>
      </c>
      <c r="B1198" s="313" t="s">
        <v>1028</v>
      </c>
      <c r="C1198" s="314">
        <v>1752</v>
      </c>
      <c r="D1198" s="313">
        <v>1752</v>
      </c>
      <c r="E1198" s="313">
        <v>1679.52</v>
      </c>
      <c r="F1198" s="313">
        <v>-72.48</v>
      </c>
      <c r="G1198" s="313">
        <v>1866.87</v>
      </c>
      <c r="H1198" s="313">
        <v>2084.1999999999998</v>
      </c>
    </row>
    <row r="1199" spans="1:8" x14ac:dyDescent="0.2">
      <c r="A1199" s="313">
        <v>1844300840</v>
      </c>
      <c r="B1199" s="313" t="s">
        <v>300</v>
      </c>
      <c r="C1199" s="314">
        <v>5482662</v>
      </c>
      <c r="D1199" s="313">
        <v>5482662</v>
      </c>
      <c r="E1199" s="313">
        <v>4510934</v>
      </c>
      <c r="F1199" s="313">
        <v>-971728</v>
      </c>
      <c r="G1199" s="313">
        <v>5458734</v>
      </c>
      <c r="H1199" s="313">
        <v>5054205</v>
      </c>
    </row>
    <row r="1200" spans="1:8" x14ac:dyDescent="0.2">
      <c r="A1200" s="313">
        <v>1844300842</v>
      </c>
      <c r="B1200" s="313" t="s">
        <v>59</v>
      </c>
      <c r="G1200" s="313">
        <v>14520</v>
      </c>
    </row>
    <row r="1201" spans="1:8" x14ac:dyDescent="0.2">
      <c r="A1201" s="313">
        <v>1844400780</v>
      </c>
      <c r="B1201" s="313" t="s">
        <v>1029</v>
      </c>
      <c r="C1201" s="314">
        <v>60000</v>
      </c>
      <c r="D1201" s="313">
        <v>60000</v>
      </c>
      <c r="F1201" s="313">
        <v>-60000</v>
      </c>
      <c r="G1201" s="313">
        <v>60000</v>
      </c>
    </row>
    <row r="1202" spans="1:8" x14ac:dyDescent="0.2">
      <c r="A1202" s="313">
        <v>1844400840</v>
      </c>
      <c r="B1202" s="313" t="s">
        <v>1482</v>
      </c>
      <c r="C1202" s="314">
        <v>80000</v>
      </c>
      <c r="D1202" s="313">
        <v>80000</v>
      </c>
      <c r="E1202" s="313">
        <v>35515</v>
      </c>
      <c r="F1202" s="313">
        <v>-44485</v>
      </c>
      <c r="G1202" s="313">
        <v>75819</v>
      </c>
      <c r="H1202" s="313">
        <v>28668.41</v>
      </c>
    </row>
    <row r="1203" spans="1:8" x14ac:dyDescent="0.2">
      <c r="A1203" s="313">
        <v>1844400841</v>
      </c>
      <c r="B1203" s="313" t="s">
        <v>422</v>
      </c>
      <c r="C1203" s="314">
        <v>100000</v>
      </c>
      <c r="D1203" s="313">
        <v>100000</v>
      </c>
      <c r="E1203" s="313">
        <v>87213</v>
      </c>
      <c r="F1203" s="313">
        <v>-12787</v>
      </c>
      <c r="G1203" s="313">
        <v>100180</v>
      </c>
      <c r="H1203" s="313">
        <v>122491</v>
      </c>
    </row>
    <row r="1204" spans="1:8" x14ac:dyDescent="0.2">
      <c r="A1204" s="313">
        <v>1844400842</v>
      </c>
      <c r="B1204" s="313" t="s">
        <v>423</v>
      </c>
      <c r="C1204" s="314">
        <v>190000</v>
      </c>
      <c r="D1204" s="313">
        <v>190000</v>
      </c>
      <c r="E1204" s="313">
        <v>180333</v>
      </c>
      <c r="F1204" s="313">
        <v>-9667</v>
      </c>
      <c r="G1204" s="313">
        <v>193458</v>
      </c>
      <c r="H1204" s="313">
        <v>200622</v>
      </c>
    </row>
    <row r="1205" spans="1:8" x14ac:dyDescent="0.2">
      <c r="A1205" s="313">
        <v>1844400843</v>
      </c>
      <c r="B1205" s="313" t="s">
        <v>1194</v>
      </c>
      <c r="H1205" s="313">
        <v>-5100</v>
      </c>
    </row>
    <row r="1206" spans="1:8" x14ac:dyDescent="0.2">
      <c r="A1206" s="313">
        <v>1844400844</v>
      </c>
      <c r="B1206" s="313" t="s">
        <v>193</v>
      </c>
      <c r="G1206" s="313">
        <v>-1807.65</v>
      </c>
    </row>
    <row r="1207" spans="1:8" x14ac:dyDescent="0.2">
      <c r="A1207" s="313">
        <v>1844400845</v>
      </c>
      <c r="B1207" s="313" t="s">
        <v>425</v>
      </c>
      <c r="C1207" s="314">
        <v>30000</v>
      </c>
      <c r="D1207" s="313">
        <v>30000</v>
      </c>
      <c r="E1207" s="313">
        <v>23051.71</v>
      </c>
      <c r="F1207" s="313">
        <v>-6948.29</v>
      </c>
      <c r="G1207" s="313">
        <v>28357.21</v>
      </c>
      <c r="H1207" s="313">
        <v>29500.55</v>
      </c>
    </row>
    <row r="1208" spans="1:8" x14ac:dyDescent="0.2">
      <c r="A1208" s="313">
        <v>1844400846</v>
      </c>
      <c r="B1208" s="313" t="s">
        <v>60</v>
      </c>
      <c r="H1208" s="313">
        <v>-750</v>
      </c>
    </row>
    <row r="1209" spans="1:8" x14ac:dyDescent="0.2">
      <c r="A1209" s="313">
        <v>1844400849</v>
      </c>
      <c r="B1209" s="313" t="s">
        <v>426</v>
      </c>
      <c r="C1209" s="314">
        <v>288000</v>
      </c>
      <c r="D1209" s="313">
        <v>288000</v>
      </c>
      <c r="E1209" s="313">
        <v>282158</v>
      </c>
      <c r="F1209" s="313">
        <v>-5842</v>
      </c>
      <c r="G1209" s="313">
        <v>215265</v>
      </c>
      <c r="H1209" s="313">
        <v>340752</v>
      </c>
    </row>
    <row r="1210" spans="1:8" x14ac:dyDescent="0.2">
      <c r="A1210" s="313">
        <v>1844400852</v>
      </c>
      <c r="B1210" s="313" t="s">
        <v>1722</v>
      </c>
      <c r="E1210" s="313">
        <v>10028</v>
      </c>
      <c r="F1210" s="313">
        <v>10028</v>
      </c>
    </row>
    <row r="1211" spans="1:8" x14ac:dyDescent="0.2">
      <c r="A1211" s="313">
        <v>1844400853</v>
      </c>
      <c r="B1211" s="313" t="s">
        <v>1994</v>
      </c>
      <c r="E1211" s="313">
        <v>77551</v>
      </c>
      <c r="F1211" s="313">
        <v>77551</v>
      </c>
    </row>
    <row r="1212" spans="1:8" x14ac:dyDescent="0.2">
      <c r="A1212" s="313">
        <v>1844500840</v>
      </c>
      <c r="B1212" s="313" t="s">
        <v>427</v>
      </c>
      <c r="C1212" s="314">
        <v>674100</v>
      </c>
      <c r="D1212" s="313">
        <v>674100</v>
      </c>
      <c r="E1212" s="313">
        <v>341200</v>
      </c>
      <c r="F1212" s="313">
        <v>-332900</v>
      </c>
      <c r="G1212" s="313">
        <v>582243</v>
      </c>
      <c r="H1212" s="313">
        <v>567960</v>
      </c>
    </row>
    <row r="1213" spans="1:8" x14ac:dyDescent="0.2">
      <c r="A1213" s="313">
        <v>1844500843</v>
      </c>
      <c r="B1213" s="313" t="s">
        <v>1650</v>
      </c>
      <c r="C1213" s="314">
        <v>250000</v>
      </c>
      <c r="D1213" s="313">
        <v>250000</v>
      </c>
      <c r="E1213" s="313">
        <v>240000</v>
      </c>
      <c r="F1213" s="313">
        <v>-10000</v>
      </c>
      <c r="G1213" s="313">
        <v>240000</v>
      </c>
      <c r="H1213" s="313">
        <v>240000</v>
      </c>
    </row>
    <row r="1214" spans="1:8" x14ac:dyDescent="0.2">
      <c r="A1214" s="313">
        <v>1844500845</v>
      </c>
      <c r="B1214" s="313" t="s">
        <v>1649</v>
      </c>
      <c r="C1214" s="314">
        <v>252000</v>
      </c>
      <c r="D1214" s="313">
        <v>252000</v>
      </c>
      <c r="E1214" s="313">
        <v>190006.33</v>
      </c>
      <c r="F1214" s="313">
        <v>-61993.67</v>
      </c>
    </row>
    <row r="1215" spans="1:8" x14ac:dyDescent="0.2">
      <c r="A1215" s="313">
        <v>1845100842</v>
      </c>
      <c r="B1215" s="313" t="s">
        <v>431</v>
      </c>
      <c r="C1215" s="314">
        <v>1004220</v>
      </c>
      <c r="D1215" s="313">
        <v>1004220</v>
      </c>
      <c r="E1215" s="313">
        <v>852616</v>
      </c>
      <c r="F1215" s="313">
        <v>-151604</v>
      </c>
      <c r="G1215" s="313">
        <v>994162</v>
      </c>
      <c r="H1215" s="313">
        <v>827931</v>
      </c>
    </row>
    <row r="1216" spans="1:8" x14ac:dyDescent="0.2">
      <c r="A1216" s="313">
        <v>1845100843</v>
      </c>
      <c r="B1216" s="313" t="s">
        <v>432</v>
      </c>
      <c r="C1216" s="314">
        <v>49920</v>
      </c>
      <c r="D1216" s="313">
        <v>49920</v>
      </c>
      <c r="E1216" s="313">
        <v>25927</v>
      </c>
      <c r="F1216" s="313">
        <v>-23993</v>
      </c>
      <c r="G1216" s="313">
        <v>48686</v>
      </c>
      <c r="H1216" s="313">
        <v>31169</v>
      </c>
    </row>
    <row r="1217" spans="1:8" x14ac:dyDescent="0.2">
      <c r="A1217" s="313">
        <v>1845100844</v>
      </c>
      <c r="B1217" s="313" t="s">
        <v>1196</v>
      </c>
      <c r="C1217" s="314">
        <v>16000</v>
      </c>
      <c r="D1217" s="313">
        <v>16000</v>
      </c>
      <c r="F1217" s="313">
        <v>-16000</v>
      </c>
      <c r="H1217" s="313">
        <v>15495</v>
      </c>
    </row>
    <row r="1218" spans="1:8" x14ac:dyDescent="0.2">
      <c r="A1218" s="313">
        <v>1845100845</v>
      </c>
      <c r="B1218" s="313" t="s">
        <v>433</v>
      </c>
      <c r="C1218" s="314">
        <v>28253</v>
      </c>
      <c r="D1218" s="313">
        <v>28253</v>
      </c>
      <c r="E1218" s="313">
        <v>13284</v>
      </c>
      <c r="F1218" s="313">
        <v>-14969</v>
      </c>
      <c r="G1218" s="313">
        <v>20054</v>
      </c>
      <c r="H1218" s="313">
        <v>25877</v>
      </c>
    </row>
    <row r="1219" spans="1:8" x14ac:dyDescent="0.2">
      <c r="A1219" s="313">
        <v>1845100846</v>
      </c>
      <c r="B1219" s="313" t="s">
        <v>434</v>
      </c>
      <c r="C1219" s="314">
        <v>300480</v>
      </c>
      <c r="D1219" s="313">
        <v>300480</v>
      </c>
      <c r="E1219" s="313">
        <v>121039</v>
      </c>
      <c r="F1219" s="313">
        <v>-179441</v>
      </c>
      <c r="G1219" s="313">
        <v>350120</v>
      </c>
      <c r="H1219" s="313">
        <v>230328</v>
      </c>
    </row>
    <row r="1220" spans="1:8" x14ac:dyDescent="0.2">
      <c r="A1220" s="313">
        <v>1845100848</v>
      </c>
      <c r="B1220" s="313" t="s">
        <v>1412</v>
      </c>
      <c r="C1220" s="314">
        <v>51600</v>
      </c>
      <c r="D1220" s="313">
        <v>51600</v>
      </c>
      <c r="E1220" s="313">
        <v>47685</v>
      </c>
      <c r="F1220" s="313">
        <v>-3915</v>
      </c>
      <c r="G1220" s="313">
        <v>4291</v>
      </c>
      <c r="H1220" s="313">
        <v>45509</v>
      </c>
    </row>
    <row r="1221" spans="1:8" x14ac:dyDescent="0.2">
      <c r="A1221" s="313">
        <v>1845100849</v>
      </c>
      <c r="B1221" s="313" t="s">
        <v>1413</v>
      </c>
      <c r="C1221" s="314">
        <v>48000</v>
      </c>
      <c r="D1221" s="313">
        <v>48000</v>
      </c>
      <c r="E1221" s="313">
        <v>20498</v>
      </c>
      <c r="F1221" s="313">
        <v>-27502</v>
      </c>
      <c r="G1221" s="313">
        <v>49220</v>
      </c>
      <c r="H1221" s="313">
        <v>25138</v>
      </c>
    </row>
    <row r="1222" spans="1:8" x14ac:dyDescent="0.2">
      <c r="A1222" s="313">
        <v>1845100850</v>
      </c>
      <c r="B1222" s="313" t="s">
        <v>61</v>
      </c>
      <c r="C1222" s="314">
        <v>12496800</v>
      </c>
      <c r="D1222" s="313">
        <v>12496800</v>
      </c>
      <c r="E1222" s="313">
        <v>10318502</v>
      </c>
      <c r="F1222" s="313">
        <v>-2178298</v>
      </c>
      <c r="G1222" s="313">
        <v>12086741</v>
      </c>
      <c r="H1222" s="313">
        <v>11929367</v>
      </c>
    </row>
    <row r="1223" spans="1:8" x14ac:dyDescent="0.2">
      <c r="A1223" s="313">
        <v>1845100851</v>
      </c>
      <c r="B1223" s="313" t="s">
        <v>86</v>
      </c>
      <c r="C1223" s="314">
        <v>3192000</v>
      </c>
      <c r="D1223" s="313">
        <v>3192000</v>
      </c>
      <c r="E1223" s="313">
        <v>0</v>
      </c>
      <c r="F1223" s="313">
        <v>-3192000</v>
      </c>
      <c r="G1223" s="313">
        <v>3294110</v>
      </c>
      <c r="H1223" s="313">
        <v>3311271</v>
      </c>
    </row>
    <row r="1224" spans="1:8" x14ac:dyDescent="0.2">
      <c r="A1224" s="313">
        <v>1845100852</v>
      </c>
      <c r="B1224" s="313" t="s">
        <v>1480</v>
      </c>
      <c r="C1224" s="314">
        <v>153792</v>
      </c>
      <c r="D1224" s="313">
        <v>153792</v>
      </c>
      <c r="E1224" s="313">
        <v>112908</v>
      </c>
      <c r="F1224" s="313">
        <v>-40884</v>
      </c>
      <c r="G1224" s="313">
        <v>87199</v>
      </c>
    </row>
    <row r="1225" spans="1:8" x14ac:dyDescent="0.2">
      <c r="A1225" s="313">
        <v>1845100853</v>
      </c>
      <c r="B1225" s="313" t="s">
        <v>2002</v>
      </c>
      <c r="E1225" s="313">
        <v>2555025</v>
      </c>
      <c r="F1225" s="313">
        <v>2555025</v>
      </c>
    </row>
    <row r="1226" spans="1:8" x14ac:dyDescent="0.2">
      <c r="A1226" s="313">
        <v>1845200841</v>
      </c>
      <c r="B1226" s="313" t="s">
        <v>1031</v>
      </c>
      <c r="C1226" s="314">
        <v>1800</v>
      </c>
      <c r="D1226" s="313">
        <v>1800</v>
      </c>
      <c r="E1226" s="313">
        <v>1301.6500000000001</v>
      </c>
      <c r="F1226" s="313">
        <v>-498.35</v>
      </c>
      <c r="G1226" s="313">
        <v>1995.42</v>
      </c>
      <c r="H1226" s="313">
        <v>4349.2700000000004</v>
      </c>
    </row>
    <row r="1227" spans="1:8" x14ac:dyDescent="0.2">
      <c r="A1227" s="313">
        <v>1845200842</v>
      </c>
      <c r="B1227" s="313" t="s">
        <v>1032</v>
      </c>
      <c r="C1227" s="314">
        <v>657300</v>
      </c>
      <c r="D1227" s="313">
        <v>657300</v>
      </c>
      <c r="E1227" s="313">
        <v>505270</v>
      </c>
      <c r="F1227" s="313">
        <v>-152030</v>
      </c>
      <c r="G1227" s="313">
        <v>617291</v>
      </c>
      <c r="H1227" s="313">
        <v>703896</v>
      </c>
    </row>
    <row r="1228" spans="1:8" x14ac:dyDescent="0.2">
      <c r="A1228" s="313">
        <v>1845200846</v>
      </c>
      <c r="B1228" s="313" t="s">
        <v>63</v>
      </c>
      <c r="C1228" s="314">
        <v>50000</v>
      </c>
      <c r="D1228" s="313">
        <v>50000</v>
      </c>
      <c r="E1228" s="313">
        <v>33167.72</v>
      </c>
      <c r="F1228" s="313">
        <v>-16832.28</v>
      </c>
      <c r="G1228" s="313">
        <v>30695.23</v>
      </c>
      <c r="H1228" s="313">
        <v>47031.02</v>
      </c>
    </row>
    <row r="1229" spans="1:8" x14ac:dyDescent="0.2">
      <c r="A1229" s="313">
        <v>1845200847</v>
      </c>
      <c r="B1229" s="313" t="s">
        <v>64</v>
      </c>
      <c r="C1229" s="314">
        <v>823000</v>
      </c>
      <c r="D1229" s="313">
        <v>823000</v>
      </c>
      <c r="E1229" s="313">
        <v>943101</v>
      </c>
      <c r="F1229" s="313">
        <v>120101</v>
      </c>
      <c r="G1229" s="313">
        <v>760155</v>
      </c>
      <c r="H1229" s="313">
        <v>593537.17000000004</v>
      </c>
    </row>
    <row r="1230" spans="1:8" x14ac:dyDescent="0.2">
      <c r="A1230" s="313">
        <v>1845300840</v>
      </c>
      <c r="B1230" s="313" t="s">
        <v>298</v>
      </c>
      <c r="E1230" s="313">
        <v>0</v>
      </c>
      <c r="G1230" s="313">
        <v>2417</v>
      </c>
      <c r="H1230" s="313">
        <v>0</v>
      </c>
    </row>
    <row r="1231" spans="1:8" x14ac:dyDescent="0.2">
      <c r="A1231" s="313">
        <v>1845300841</v>
      </c>
      <c r="B1231" s="313" t="s">
        <v>439</v>
      </c>
      <c r="C1231" s="314">
        <v>20000</v>
      </c>
      <c r="D1231" s="313">
        <v>20000</v>
      </c>
      <c r="E1231" s="313">
        <v>30649</v>
      </c>
      <c r="F1231" s="313">
        <v>10649</v>
      </c>
      <c r="G1231" s="313">
        <v>31020</v>
      </c>
      <c r="H1231" s="313">
        <v>17106</v>
      </c>
    </row>
    <row r="1232" spans="1:8" x14ac:dyDescent="0.2">
      <c r="A1232" s="313">
        <v>1845300843</v>
      </c>
      <c r="B1232" s="313" t="s">
        <v>440</v>
      </c>
      <c r="C1232" s="314">
        <v>20000</v>
      </c>
      <c r="D1232" s="313">
        <v>20000</v>
      </c>
      <c r="E1232" s="313">
        <v>0</v>
      </c>
      <c r="F1232" s="313">
        <v>-20000</v>
      </c>
      <c r="G1232" s="313">
        <v>0</v>
      </c>
      <c r="H1232" s="313">
        <v>0</v>
      </c>
    </row>
    <row r="1233" spans="1:8" x14ac:dyDescent="0.2">
      <c r="A1233" s="313">
        <v>1845300846</v>
      </c>
      <c r="B1233" s="313" t="s">
        <v>87</v>
      </c>
      <c r="C1233" s="314">
        <v>20000</v>
      </c>
      <c r="D1233" s="313">
        <v>20000</v>
      </c>
      <c r="E1233" s="313">
        <v>10637</v>
      </c>
      <c r="F1233" s="313">
        <v>-9363</v>
      </c>
      <c r="G1233" s="313">
        <v>21340</v>
      </c>
      <c r="H1233" s="313">
        <v>15831</v>
      </c>
    </row>
    <row r="1234" spans="1:8" x14ac:dyDescent="0.2">
      <c r="A1234" s="313">
        <v>1845300847</v>
      </c>
      <c r="B1234" s="313" t="s">
        <v>65</v>
      </c>
      <c r="C1234" s="314">
        <v>325000</v>
      </c>
      <c r="D1234" s="313">
        <v>325000</v>
      </c>
      <c r="E1234" s="313">
        <v>377523</v>
      </c>
      <c r="F1234" s="313">
        <v>52523</v>
      </c>
      <c r="G1234" s="313">
        <v>439158</v>
      </c>
      <c r="H1234" s="313">
        <v>649281</v>
      </c>
    </row>
    <row r="1235" spans="1:8" x14ac:dyDescent="0.2">
      <c r="A1235" s="313">
        <v>1845300848</v>
      </c>
      <c r="B1235" s="313" t="s">
        <v>66</v>
      </c>
      <c r="C1235" s="314">
        <v>31752</v>
      </c>
      <c r="D1235" s="313">
        <v>31752</v>
      </c>
      <c r="E1235" s="313">
        <v>38662</v>
      </c>
      <c r="F1235" s="313">
        <v>6910</v>
      </c>
      <c r="G1235" s="313">
        <v>17006</v>
      </c>
      <c r="H1235" s="313">
        <v>23959</v>
      </c>
    </row>
    <row r="1236" spans="1:8" x14ac:dyDescent="0.2">
      <c r="A1236" s="313">
        <v>1846100840</v>
      </c>
      <c r="B1236" s="313" t="s">
        <v>442</v>
      </c>
      <c r="C1236" s="314">
        <v>174000</v>
      </c>
      <c r="D1236" s="313">
        <v>174000</v>
      </c>
      <c r="E1236" s="313">
        <v>146687</v>
      </c>
      <c r="F1236" s="313">
        <v>-27313</v>
      </c>
      <c r="G1236" s="313">
        <v>170245</v>
      </c>
      <c r="H1236" s="313">
        <v>208580</v>
      </c>
    </row>
    <row r="1237" spans="1:8" x14ac:dyDescent="0.2">
      <c r="A1237" s="313">
        <v>1846300841</v>
      </c>
      <c r="B1237" s="313" t="s">
        <v>443</v>
      </c>
      <c r="C1237" s="314">
        <v>63000</v>
      </c>
      <c r="D1237" s="313">
        <v>63000</v>
      </c>
      <c r="E1237" s="313">
        <v>44312</v>
      </c>
      <c r="F1237" s="313">
        <v>-18688</v>
      </c>
      <c r="G1237" s="313">
        <v>61177</v>
      </c>
      <c r="H1237" s="313">
        <v>42232</v>
      </c>
    </row>
    <row r="1238" spans="1:8" x14ac:dyDescent="0.2">
      <c r="A1238" s="313">
        <v>1846300843</v>
      </c>
      <c r="B1238" s="313" t="s">
        <v>444</v>
      </c>
      <c r="C1238" s="314">
        <v>13100</v>
      </c>
      <c r="D1238" s="313">
        <v>13100</v>
      </c>
      <c r="E1238" s="313">
        <v>11433.85</v>
      </c>
      <c r="F1238" s="313">
        <v>-1666.15</v>
      </c>
      <c r="G1238" s="313">
        <v>7497.98</v>
      </c>
      <c r="H1238" s="313">
        <v>7521.2</v>
      </c>
    </row>
    <row r="1239" spans="1:8" x14ac:dyDescent="0.2">
      <c r="A1239" s="313">
        <v>1846400780</v>
      </c>
      <c r="B1239" s="313" t="s">
        <v>1033</v>
      </c>
      <c r="C1239" s="314">
        <v>7800</v>
      </c>
      <c r="D1239" s="313">
        <v>7800</v>
      </c>
      <c r="E1239" s="313">
        <v>4085.13</v>
      </c>
      <c r="F1239" s="313">
        <v>-3714.87</v>
      </c>
      <c r="G1239" s="313">
        <v>11102.67</v>
      </c>
      <c r="H1239" s="313">
        <v>9233.48</v>
      </c>
    </row>
    <row r="1240" spans="1:8" x14ac:dyDescent="0.2">
      <c r="A1240" s="313">
        <v>1846400840</v>
      </c>
      <c r="B1240" s="313" t="s">
        <v>1415</v>
      </c>
      <c r="C1240" s="314">
        <v>55656</v>
      </c>
      <c r="D1240" s="313">
        <v>55656</v>
      </c>
      <c r="E1240" s="313">
        <v>51546</v>
      </c>
      <c r="F1240" s="313">
        <v>-4110</v>
      </c>
      <c r="G1240" s="313">
        <v>12328</v>
      </c>
    </row>
    <row r="1241" spans="1:8" x14ac:dyDescent="0.2">
      <c r="A1241" s="313">
        <v>1846400841</v>
      </c>
      <c r="B1241" s="313" t="s">
        <v>445</v>
      </c>
      <c r="E1241" s="313">
        <v>2606</v>
      </c>
      <c r="F1241" s="313">
        <v>2606</v>
      </c>
      <c r="G1241" s="313">
        <v>0</v>
      </c>
      <c r="H1241" s="313">
        <v>9613</v>
      </c>
    </row>
    <row r="1242" spans="1:8" x14ac:dyDescent="0.2">
      <c r="A1242" s="313">
        <v>1846500840</v>
      </c>
      <c r="B1242" s="313" t="s">
        <v>446</v>
      </c>
      <c r="C1242" s="314">
        <v>3932400</v>
      </c>
      <c r="D1242" s="313">
        <v>3932400</v>
      </c>
      <c r="E1242" s="313">
        <v>3050398</v>
      </c>
      <c r="F1242" s="313">
        <v>-882002</v>
      </c>
      <c r="G1242" s="313">
        <v>3489761</v>
      </c>
      <c r="H1242" s="313">
        <v>3097457</v>
      </c>
    </row>
    <row r="1243" spans="1:8" x14ac:dyDescent="0.2">
      <c r="A1243" s="313">
        <v>1846600840</v>
      </c>
      <c r="B1243" s="313" t="s">
        <v>1034</v>
      </c>
      <c r="C1243" s="314">
        <v>79800</v>
      </c>
      <c r="D1243" s="313">
        <v>79800</v>
      </c>
      <c r="E1243" s="313">
        <v>49702</v>
      </c>
      <c r="F1243" s="313">
        <v>-30098</v>
      </c>
      <c r="G1243" s="313">
        <v>46454</v>
      </c>
      <c r="H1243" s="313">
        <v>14953</v>
      </c>
    </row>
    <row r="1244" spans="1:8" x14ac:dyDescent="0.2">
      <c r="A1244" s="313">
        <v>1846600841</v>
      </c>
      <c r="B1244" s="313" t="s">
        <v>448</v>
      </c>
      <c r="C1244" s="314">
        <v>163240</v>
      </c>
      <c r="D1244" s="313">
        <v>163240</v>
      </c>
      <c r="E1244" s="313">
        <v>142491</v>
      </c>
      <c r="F1244" s="313">
        <v>-20749</v>
      </c>
      <c r="G1244" s="313">
        <v>156397</v>
      </c>
      <c r="H1244" s="313">
        <v>101437</v>
      </c>
    </row>
    <row r="1245" spans="1:8" x14ac:dyDescent="0.2">
      <c r="A1245" s="313">
        <v>1846600843</v>
      </c>
      <c r="B1245" s="313" t="s">
        <v>1479</v>
      </c>
      <c r="C1245" s="314">
        <v>6000</v>
      </c>
      <c r="D1245" s="313">
        <v>6000</v>
      </c>
      <c r="F1245" s="313">
        <v>-6000</v>
      </c>
    </row>
    <row r="1246" spans="1:8" x14ac:dyDescent="0.2">
      <c r="A1246" s="313">
        <v>1846700840</v>
      </c>
      <c r="B1246" s="313" t="s">
        <v>1035</v>
      </c>
      <c r="C1246" s="314">
        <v>35000</v>
      </c>
      <c r="D1246" s="313">
        <v>35000</v>
      </c>
      <c r="E1246" s="313">
        <v>7527</v>
      </c>
      <c r="F1246" s="313">
        <v>-27473</v>
      </c>
      <c r="G1246" s="313">
        <v>31433</v>
      </c>
      <c r="H1246" s="313">
        <v>2859</v>
      </c>
    </row>
    <row r="1247" spans="1:8" x14ac:dyDescent="0.2">
      <c r="A1247" s="313">
        <v>1846700841</v>
      </c>
      <c r="B1247" s="313" t="s">
        <v>1417</v>
      </c>
      <c r="C1247" s="314">
        <v>12504</v>
      </c>
      <c r="D1247" s="313">
        <v>12504</v>
      </c>
      <c r="E1247" s="313">
        <v>10842</v>
      </c>
      <c r="F1247" s="313">
        <v>-1662</v>
      </c>
      <c r="G1247" s="313">
        <v>9426</v>
      </c>
    </row>
    <row r="1248" spans="1:8" x14ac:dyDescent="0.2">
      <c r="A1248" s="313">
        <v>1846700843</v>
      </c>
      <c r="B1248" s="313" t="s">
        <v>303</v>
      </c>
      <c r="C1248" s="314">
        <v>385104</v>
      </c>
      <c r="D1248" s="313">
        <v>385104</v>
      </c>
      <c r="E1248" s="313">
        <v>303760</v>
      </c>
      <c r="F1248" s="313">
        <v>-81344</v>
      </c>
      <c r="G1248" s="313">
        <v>533615</v>
      </c>
      <c r="H1248" s="313">
        <v>244124</v>
      </c>
    </row>
    <row r="1249" spans="1:8" x14ac:dyDescent="0.2">
      <c r="A1249" s="313">
        <v>1846700844</v>
      </c>
      <c r="B1249" s="313" t="s">
        <v>450</v>
      </c>
      <c r="C1249" s="314">
        <v>320000</v>
      </c>
      <c r="D1249" s="313">
        <v>320000</v>
      </c>
      <c r="E1249" s="313">
        <v>194729</v>
      </c>
      <c r="F1249" s="313">
        <v>-125271</v>
      </c>
      <c r="G1249" s="313">
        <v>228038</v>
      </c>
      <c r="H1249" s="313">
        <v>268387.94</v>
      </c>
    </row>
    <row r="1250" spans="1:8" x14ac:dyDescent="0.2">
      <c r="A1250" s="313">
        <v>1846700846</v>
      </c>
      <c r="B1250" s="313" t="s">
        <v>452</v>
      </c>
      <c r="C1250" s="314">
        <v>5000</v>
      </c>
      <c r="D1250" s="313">
        <v>5000</v>
      </c>
      <c r="E1250" s="313">
        <v>7084</v>
      </c>
      <c r="F1250" s="313">
        <v>2084</v>
      </c>
      <c r="G1250" s="313">
        <v>3500</v>
      </c>
      <c r="H1250" s="313">
        <v>17376</v>
      </c>
    </row>
    <row r="1251" spans="1:8" x14ac:dyDescent="0.2">
      <c r="A1251" s="313">
        <v>1846700848</v>
      </c>
      <c r="B1251" s="313" t="s">
        <v>454</v>
      </c>
      <c r="C1251" s="314">
        <v>94857</v>
      </c>
      <c r="D1251" s="313">
        <v>94857</v>
      </c>
      <c r="E1251" s="313">
        <v>101326</v>
      </c>
      <c r="F1251" s="313">
        <v>6469</v>
      </c>
      <c r="G1251" s="313">
        <v>104910</v>
      </c>
      <c r="H1251" s="313">
        <v>208304</v>
      </c>
    </row>
    <row r="1252" spans="1:8" x14ac:dyDescent="0.2">
      <c r="A1252" s="313">
        <v>1846700849</v>
      </c>
      <c r="B1252" s="313" t="s">
        <v>88</v>
      </c>
      <c r="C1252" s="314">
        <v>38280</v>
      </c>
      <c r="D1252" s="313">
        <v>38280</v>
      </c>
      <c r="F1252" s="313">
        <v>-38280</v>
      </c>
      <c r="G1252" s="313">
        <v>86096</v>
      </c>
      <c r="H1252" s="313">
        <v>80039</v>
      </c>
    </row>
    <row r="1253" spans="1:8" x14ac:dyDescent="0.2">
      <c r="A1253" s="313">
        <v>1846800842</v>
      </c>
      <c r="B1253" s="313" t="s">
        <v>455</v>
      </c>
      <c r="C1253" s="314">
        <v>18000</v>
      </c>
      <c r="D1253" s="313">
        <v>18000</v>
      </c>
      <c r="E1253" s="313">
        <v>60406</v>
      </c>
      <c r="F1253" s="313">
        <v>42406</v>
      </c>
      <c r="G1253" s="313">
        <v>18763</v>
      </c>
      <c r="H1253" s="313">
        <v>40985.54</v>
      </c>
    </row>
    <row r="1254" spans="1:8" x14ac:dyDescent="0.2">
      <c r="A1254" s="313">
        <v>1846800843</v>
      </c>
      <c r="B1254" s="313" t="s">
        <v>456</v>
      </c>
      <c r="C1254" s="314">
        <v>239088</v>
      </c>
      <c r="D1254" s="313">
        <v>239088</v>
      </c>
      <c r="E1254" s="313">
        <v>50040</v>
      </c>
      <c r="F1254" s="313">
        <v>-189048</v>
      </c>
      <c r="G1254" s="313">
        <v>82080</v>
      </c>
      <c r="H1254" s="313">
        <v>86676</v>
      </c>
    </row>
    <row r="1255" spans="1:8" x14ac:dyDescent="0.2">
      <c r="A1255" s="313">
        <v>1846800844</v>
      </c>
      <c r="B1255" s="313" t="s">
        <v>457</v>
      </c>
      <c r="C1255" s="314">
        <v>15000</v>
      </c>
      <c r="D1255" s="313">
        <v>15000</v>
      </c>
      <c r="E1255" s="313">
        <v>6271.69</v>
      </c>
      <c r="F1255" s="313">
        <v>-8728.31</v>
      </c>
      <c r="G1255" s="313">
        <v>4900.5200000000004</v>
      </c>
      <c r="H1255" s="313">
        <v>14450.52</v>
      </c>
    </row>
    <row r="1256" spans="1:8" x14ac:dyDescent="0.2">
      <c r="A1256" s="313">
        <v>1846800846</v>
      </c>
      <c r="B1256" s="313" t="s">
        <v>459</v>
      </c>
      <c r="C1256" s="314">
        <v>277944</v>
      </c>
      <c r="D1256" s="313">
        <v>277944</v>
      </c>
      <c r="E1256" s="313">
        <v>428608</v>
      </c>
      <c r="F1256" s="313">
        <v>150664</v>
      </c>
      <c r="G1256" s="313">
        <v>88263</v>
      </c>
      <c r="H1256" s="313">
        <v>267790</v>
      </c>
    </row>
    <row r="1257" spans="1:8" x14ac:dyDescent="0.2">
      <c r="A1257" s="313">
        <v>1846800848</v>
      </c>
      <c r="B1257" s="313" t="s">
        <v>1627</v>
      </c>
      <c r="C1257" s="314">
        <v>64956</v>
      </c>
      <c r="D1257" s="313">
        <v>64956</v>
      </c>
      <c r="E1257" s="313">
        <v>54713</v>
      </c>
      <c r="F1257" s="313">
        <v>-10243</v>
      </c>
      <c r="G1257" s="313">
        <v>64429</v>
      </c>
      <c r="H1257" s="313">
        <v>15977</v>
      </c>
    </row>
    <row r="1258" spans="1:8" x14ac:dyDescent="0.2">
      <c r="A1258" s="313">
        <v>1846800850</v>
      </c>
      <c r="B1258" s="313" t="s">
        <v>67</v>
      </c>
      <c r="C1258" s="314">
        <v>101600</v>
      </c>
      <c r="D1258" s="313">
        <v>101600</v>
      </c>
      <c r="E1258" s="313">
        <v>57704.88</v>
      </c>
      <c r="F1258" s="313">
        <v>-43895.12</v>
      </c>
      <c r="G1258" s="313">
        <v>49761.86</v>
      </c>
      <c r="H1258" s="313">
        <v>151955</v>
      </c>
    </row>
    <row r="1259" spans="1:8" x14ac:dyDescent="0.2">
      <c r="A1259" s="313">
        <v>1846900780</v>
      </c>
      <c r="B1259" s="313" t="s">
        <v>1548</v>
      </c>
      <c r="C1259" s="314">
        <v>180000</v>
      </c>
      <c r="D1259" s="313">
        <v>180000</v>
      </c>
      <c r="E1259" s="313">
        <v>176285</v>
      </c>
      <c r="F1259" s="313">
        <v>-3715</v>
      </c>
      <c r="G1259" s="313">
        <v>181164.9</v>
      </c>
    </row>
    <row r="1260" spans="1:8" x14ac:dyDescent="0.2">
      <c r="A1260" s="313">
        <v>1847100841</v>
      </c>
      <c r="B1260" s="313" t="s">
        <v>461</v>
      </c>
      <c r="C1260" s="314">
        <v>270000</v>
      </c>
      <c r="D1260" s="313">
        <v>270000</v>
      </c>
      <c r="E1260" s="313">
        <v>99444.34</v>
      </c>
      <c r="F1260" s="313">
        <v>-170555.66</v>
      </c>
      <c r="G1260" s="313">
        <v>161534.97</v>
      </c>
      <c r="H1260" s="313">
        <v>234797.56</v>
      </c>
    </row>
    <row r="1261" spans="1:8" x14ac:dyDescent="0.2">
      <c r="A1261" s="313">
        <v>1847100843</v>
      </c>
      <c r="B1261" s="313" t="s">
        <v>462</v>
      </c>
      <c r="C1261" s="314">
        <v>186300</v>
      </c>
      <c r="D1261" s="313">
        <v>186300</v>
      </c>
      <c r="E1261" s="313">
        <v>92457.42</v>
      </c>
      <c r="F1261" s="313">
        <v>-93842.58</v>
      </c>
      <c r="G1261" s="313">
        <v>115684.48</v>
      </c>
      <c r="H1261" s="313">
        <v>149854.89000000001</v>
      </c>
    </row>
    <row r="1262" spans="1:8" x14ac:dyDescent="0.2">
      <c r="A1262" s="313">
        <v>1847100845</v>
      </c>
      <c r="B1262" s="313" t="s">
        <v>1421</v>
      </c>
      <c r="C1262" s="314">
        <v>6796</v>
      </c>
      <c r="D1262" s="313">
        <v>6796</v>
      </c>
      <c r="E1262" s="313">
        <v>7783.28</v>
      </c>
      <c r="F1262" s="313">
        <v>987.28</v>
      </c>
      <c r="G1262" s="313">
        <v>3059.4</v>
      </c>
      <c r="H1262" s="313">
        <v>10617.2</v>
      </c>
    </row>
    <row r="1263" spans="1:8" x14ac:dyDescent="0.2">
      <c r="A1263" s="313">
        <v>1847100846</v>
      </c>
      <c r="B1263" s="313" t="s">
        <v>50</v>
      </c>
      <c r="C1263" s="314">
        <v>15084</v>
      </c>
      <c r="D1263" s="313">
        <v>15084</v>
      </c>
      <c r="E1263" s="313">
        <v>28690</v>
      </c>
      <c r="F1263" s="313">
        <v>13606</v>
      </c>
      <c r="G1263" s="313">
        <v>8715</v>
      </c>
      <c r="H1263" s="313">
        <v>37864</v>
      </c>
    </row>
    <row r="1264" spans="1:8" x14ac:dyDescent="0.2">
      <c r="A1264" s="313">
        <v>1847100849</v>
      </c>
      <c r="B1264" s="313" t="s">
        <v>1957</v>
      </c>
      <c r="E1264" s="313">
        <v>8160</v>
      </c>
      <c r="F1264" s="313">
        <v>8160</v>
      </c>
    </row>
    <row r="1265" spans="1:8" x14ac:dyDescent="0.2">
      <c r="A1265" s="313">
        <v>1847100850</v>
      </c>
      <c r="B1265" s="313" t="s">
        <v>1145</v>
      </c>
      <c r="G1265" s="313">
        <v>0</v>
      </c>
      <c r="H1265" s="313">
        <v>36226</v>
      </c>
    </row>
    <row r="1266" spans="1:8" x14ac:dyDescent="0.2">
      <c r="A1266" s="313">
        <v>1847100852</v>
      </c>
      <c r="B1266" s="313" t="s">
        <v>69</v>
      </c>
      <c r="C1266" s="314">
        <v>20000</v>
      </c>
      <c r="D1266" s="313">
        <v>20000</v>
      </c>
      <c r="E1266" s="313">
        <v>7484</v>
      </c>
      <c r="F1266" s="313">
        <v>-12516</v>
      </c>
      <c r="G1266" s="313">
        <v>19980</v>
      </c>
      <c r="H1266" s="313">
        <v>6065.77</v>
      </c>
    </row>
    <row r="1267" spans="1:8" x14ac:dyDescent="0.2">
      <c r="A1267" s="313">
        <v>1847100854</v>
      </c>
      <c r="B1267" s="313" t="s">
        <v>1959</v>
      </c>
      <c r="E1267" s="313">
        <v>16122</v>
      </c>
      <c r="F1267" s="313">
        <v>16122</v>
      </c>
    </row>
    <row r="1268" spans="1:8" x14ac:dyDescent="0.2">
      <c r="A1268" s="313">
        <v>1847110842</v>
      </c>
      <c r="B1268" s="313" t="s">
        <v>464</v>
      </c>
      <c r="C1268" s="314">
        <v>80000</v>
      </c>
      <c r="D1268" s="313">
        <v>80000</v>
      </c>
      <c r="E1268" s="313">
        <v>57454.06</v>
      </c>
      <c r="F1268" s="313">
        <v>-22545.94</v>
      </c>
      <c r="G1268" s="313">
        <v>94142.11</v>
      </c>
      <c r="H1268" s="313">
        <v>84004.24</v>
      </c>
    </row>
    <row r="1269" spans="1:8" x14ac:dyDescent="0.2">
      <c r="A1269" s="313">
        <v>1847300840</v>
      </c>
      <c r="B1269" s="313" t="s">
        <v>466</v>
      </c>
      <c r="C1269" s="314">
        <v>6000</v>
      </c>
      <c r="D1269" s="313">
        <v>6000</v>
      </c>
      <c r="E1269" s="313">
        <v>4843.25</v>
      </c>
      <c r="F1269" s="313">
        <v>-1156.75</v>
      </c>
      <c r="G1269" s="313">
        <v>5320.83</v>
      </c>
      <c r="H1269" s="313">
        <v>7659.25</v>
      </c>
    </row>
    <row r="1270" spans="1:8" x14ac:dyDescent="0.2">
      <c r="A1270" s="313">
        <v>1847300846</v>
      </c>
      <c r="B1270" s="313" t="s">
        <v>1425</v>
      </c>
      <c r="C1270" s="314">
        <v>135000</v>
      </c>
      <c r="D1270" s="313">
        <v>135000</v>
      </c>
      <c r="E1270" s="313">
        <v>201765</v>
      </c>
      <c r="F1270" s="313">
        <v>66765</v>
      </c>
      <c r="G1270" s="313">
        <v>177804</v>
      </c>
      <c r="H1270" s="313">
        <v>201165</v>
      </c>
    </row>
    <row r="1271" spans="1:8" x14ac:dyDescent="0.2">
      <c r="A1271" s="313">
        <v>1847300847</v>
      </c>
      <c r="B1271" s="313" t="s">
        <v>89</v>
      </c>
      <c r="G1271" s="313">
        <v>6019</v>
      </c>
      <c r="H1271" s="313">
        <v>14886</v>
      </c>
    </row>
    <row r="1272" spans="1:8" x14ac:dyDescent="0.2">
      <c r="A1272" s="313">
        <v>1847300848</v>
      </c>
      <c r="B1272" s="313" t="s">
        <v>1478</v>
      </c>
      <c r="G1272" s="313">
        <v>600</v>
      </c>
      <c r="H1272" s="313">
        <v>7054</v>
      </c>
    </row>
    <row r="1273" spans="1:8" x14ac:dyDescent="0.2">
      <c r="A1273" s="313">
        <v>1847400422</v>
      </c>
      <c r="B1273" s="313" t="s">
        <v>1039</v>
      </c>
      <c r="C1273" s="314">
        <v>56400</v>
      </c>
      <c r="D1273" s="313">
        <v>56400</v>
      </c>
      <c r="E1273" s="313">
        <v>29569.919999999998</v>
      </c>
      <c r="F1273" s="313">
        <v>-26830.080000000002</v>
      </c>
      <c r="G1273" s="313">
        <v>47605.86</v>
      </c>
      <c r="H1273" s="313">
        <v>57946.87</v>
      </c>
    </row>
    <row r="1274" spans="1:8" x14ac:dyDescent="0.2">
      <c r="A1274" s="313">
        <v>1847400540</v>
      </c>
      <c r="B1274" s="313" t="s">
        <v>875</v>
      </c>
      <c r="C1274" s="314">
        <v>7608</v>
      </c>
      <c r="D1274" s="313">
        <v>7608</v>
      </c>
      <c r="E1274" s="313">
        <v>5774.66</v>
      </c>
      <c r="F1274" s="313">
        <v>-1833.34</v>
      </c>
      <c r="G1274" s="313">
        <v>6167.1</v>
      </c>
      <c r="H1274" s="313">
        <v>5745.39</v>
      </c>
    </row>
    <row r="1275" spans="1:8" x14ac:dyDescent="0.2">
      <c r="A1275" s="313">
        <v>1847400560</v>
      </c>
      <c r="B1275" s="313" t="s">
        <v>1040</v>
      </c>
      <c r="C1275" s="314">
        <v>5500</v>
      </c>
      <c r="D1275" s="313">
        <v>5500</v>
      </c>
      <c r="E1275" s="313">
        <v>2009.06</v>
      </c>
      <c r="F1275" s="313">
        <v>-3490.94</v>
      </c>
      <c r="G1275" s="313">
        <v>4447.6899999999996</v>
      </c>
      <c r="H1275" s="313">
        <v>4926.34</v>
      </c>
    </row>
    <row r="1276" spans="1:8" x14ac:dyDescent="0.2">
      <c r="A1276" s="313">
        <v>1847400720</v>
      </c>
      <c r="B1276" s="313" t="s">
        <v>689</v>
      </c>
      <c r="C1276" s="314">
        <v>10000</v>
      </c>
      <c r="D1276" s="313">
        <v>10000</v>
      </c>
      <c r="E1276" s="313">
        <v>3780.7</v>
      </c>
      <c r="F1276" s="313">
        <v>-6219.3</v>
      </c>
      <c r="G1276" s="313">
        <v>7526.97</v>
      </c>
      <c r="H1276" s="313">
        <v>10000</v>
      </c>
    </row>
    <row r="1277" spans="1:8" x14ac:dyDescent="0.2">
      <c r="A1277" s="313">
        <v>1847400840</v>
      </c>
      <c r="B1277" s="313" t="s">
        <v>200</v>
      </c>
      <c r="G1277" s="313">
        <v>3100</v>
      </c>
      <c r="H1277" s="313">
        <v>4322</v>
      </c>
    </row>
    <row r="1278" spans="1:8" x14ac:dyDescent="0.2">
      <c r="A1278" s="313">
        <v>1847400841</v>
      </c>
      <c r="B1278" s="313" t="s">
        <v>1041</v>
      </c>
      <c r="C1278" s="314">
        <v>212404</v>
      </c>
      <c r="D1278" s="313">
        <v>212404</v>
      </c>
      <c r="E1278" s="313">
        <v>120708.6</v>
      </c>
      <c r="F1278" s="313">
        <v>-91695.4</v>
      </c>
      <c r="G1278" s="313">
        <v>152314.43</v>
      </c>
      <c r="H1278" s="313">
        <v>237268.42</v>
      </c>
    </row>
    <row r="1279" spans="1:8" x14ac:dyDescent="0.2">
      <c r="A1279" s="313">
        <v>1847400843</v>
      </c>
      <c r="B1279" s="313" t="s">
        <v>1042</v>
      </c>
      <c r="C1279" s="314">
        <v>59456</v>
      </c>
      <c r="D1279" s="313">
        <v>59456</v>
      </c>
      <c r="E1279" s="313">
        <v>3290</v>
      </c>
      <c r="F1279" s="313">
        <v>-56166</v>
      </c>
      <c r="G1279" s="313">
        <v>30000</v>
      </c>
      <c r="H1279" s="313">
        <v>30000</v>
      </c>
    </row>
    <row r="1280" spans="1:8" x14ac:dyDescent="0.2">
      <c r="A1280" s="313">
        <v>1847400844</v>
      </c>
      <c r="B1280" s="313" t="s">
        <v>1043</v>
      </c>
      <c r="G1280" s="313">
        <v>9000</v>
      </c>
      <c r="H1280" s="313">
        <v>3604</v>
      </c>
    </row>
    <row r="1281" spans="1:8" x14ac:dyDescent="0.2">
      <c r="A1281" s="313">
        <v>1847400845</v>
      </c>
      <c r="B1281" s="313" t="s">
        <v>473</v>
      </c>
      <c r="G1281" s="313">
        <v>21499.919999999998</v>
      </c>
      <c r="H1281" s="313">
        <v>33491.96</v>
      </c>
    </row>
    <row r="1282" spans="1:8" x14ac:dyDescent="0.2">
      <c r="A1282" s="313">
        <v>1847400846</v>
      </c>
      <c r="B1282" s="313" t="s">
        <v>2027</v>
      </c>
      <c r="E1282" s="313">
        <v>13582</v>
      </c>
      <c r="F1282" s="313">
        <v>13582</v>
      </c>
    </row>
    <row r="1283" spans="1:8" x14ac:dyDescent="0.2">
      <c r="A1283" s="313">
        <v>1847411750</v>
      </c>
      <c r="B1283" s="313" t="s">
        <v>1044</v>
      </c>
      <c r="C1283" s="314">
        <v>2000</v>
      </c>
      <c r="D1283" s="313">
        <v>2000</v>
      </c>
      <c r="E1283" s="313">
        <v>1965.3</v>
      </c>
      <c r="F1283" s="313">
        <v>-34.700000000000003</v>
      </c>
    </row>
    <row r="1284" spans="1:8" x14ac:dyDescent="0.2">
      <c r="A1284" s="313">
        <v>1848200841</v>
      </c>
      <c r="B1284" s="313" t="s">
        <v>1045</v>
      </c>
      <c r="C1284" s="314">
        <v>25000</v>
      </c>
      <c r="D1284" s="313">
        <v>25000</v>
      </c>
      <c r="E1284" s="313">
        <v>22218.1</v>
      </c>
      <c r="F1284" s="313">
        <v>-2781.9</v>
      </c>
      <c r="G1284" s="313">
        <v>25000</v>
      </c>
      <c r="H1284" s="313">
        <v>24169.72</v>
      </c>
    </row>
    <row r="1285" spans="1:8" x14ac:dyDescent="0.2">
      <c r="A1285" s="313">
        <v>1848200847</v>
      </c>
      <c r="B1285" s="313" t="s">
        <v>1365</v>
      </c>
      <c r="C1285" s="314">
        <v>11000</v>
      </c>
      <c r="D1285" s="313">
        <v>11000</v>
      </c>
      <c r="E1285" s="313">
        <v>10510</v>
      </c>
      <c r="F1285" s="313">
        <v>-490</v>
      </c>
      <c r="G1285" s="313">
        <v>5420</v>
      </c>
      <c r="H1285" s="313">
        <v>10230</v>
      </c>
    </row>
    <row r="1286" spans="1:8" x14ac:dyDescent="0.2">
      <c r="A1286" s="313">
        <v>1848300580</v>
      </c>
      <c r="B1286" s="313" t="s">
        <v>1046</v>
      </c>
      <c r="C1286" s="314">
        <v>13700</v>
      </c>
      <c r="D1286" s="313">
        <v>13700</v>
      </c>
      <c r="E1286" s="313">
        <v>4228.57</v>
      </c>
      <c r="F1286" s="313">
        <v>-9471.43</v>
      </c>
      <c r="G1286" s="313">
        <v>9920.07</v>
      </c>
      <c r="H1286" s="313">
        <v>10420</v>
      </c>
    </row>
    <row r="1287" spans="1:8" x14ac:dyDescent="0.2">
      <c r="A1287" s="313">
        <v>1848300840</v>
      </c>
      <c r="B1287" s="313" t="s">
        <v>1047</v>
      </c>
      <c r="C1287" s="314">
        <v>8000</v>
      </c>
      <c r="D1287" s="313">
        <v>8000</v>
      </c>
      <c r="E1287" s="313">
        <v>3693.61</v>
      </c>
      <c r="F1287" s="313">
        <v>-4306.3900000000003</v>
      </c>
      <c r="G1287" s="313">
        <v>6996.07</v>
      </c>
      <c r="H1287" s="313">
        <v>6901.2</v>
      </c>
    </row>
    <row r="1288" spans="1:8" x14ac:dyDescent="0.2">
      <c r="A1288" s="313">
        <v>1848400840</v>
      </c>
      <c r="B1288" s="313" t="s">
        <v>476</v>
      </c>
      <c r="C1288" s="314">
        <v>2540</v>
      </c>
      <c r="D1288" s="313">
        <v>2540</v>
      </c>
      <c r="E1288" s="313">
        <v>625.79</v>
      </c>
      <c r="F1288" s="313">
        <v>-1914.21</v>
      </c>
      <c r="G1288" s="313">
        <v>580.29999999999995</v>
      </c>
      <c r="H1288" s="313">
        <v>2701.89</v>
      </c>
    </row>
    <row r="1289" spans="1:8" x14ac:dyDescent="0.2">
      <c r="A1289" s="313">
        <v>1848500840</v>
      </c>
      <c r="B1289" s="313" t="s">
        <v>477</v>
      </c>
      <c r="C1289" s="314">
        <v>36000</v>
      </c>
      <c r="D1289" s="313">
        <v>36000</v>
      </c>
      <c r="E1289" s="313">
        <v>36000</v>
      </c>
      <c r="G1289" s="313">
        <v>36000</v>
      </c>
      <c r="H1289" s="313">
        <v>36562.6</v>
      </c>
    </row>
    <row r="1290" spans="1:8" x14ac:dyDescent="0.2">
      <c r="A1290" s="313">
        <v>1848800780</v>
      </c>
      <c r="B1290" s="313" t="s">
        <v>1048</v>
      </c>
      <c r="C1290" s="314">
        <v>30000</v>
      </c>
      <c r="D1290" s="313">
        <v>30000</v>
      </c>
      <c r="E1290" s="313">
        <v>30000</v>
      </c>
      <c r="G1290" s="313">
        <v>30000</v>
      </c>
      <c r="H1290" s="313">
        <v>30000</v>
      </c>
    </row>
    <row r="1291" spans="1:8" x14ac:dyDescent="0.2">
      <c r="A1291" s="313">
        <v>1848801750</v>
      </c>
      <c r="B1291" s="313" t="s">
        <v>1049</v>
      </c>
      <c r="C1291" s="314">
        <v>30000</v>
      </c>
      <c r="D1291" s="313">
        <v>30000</v>
      </c>
      <c r="E1291" s="313">
        <v>29699.96</v>
      </c>
      <c r="F1291" s="313">
        <v>-300.04000000000002</v>
      </c>
      <c r="G1291" s="313">
        <v>29766</v>
      </c>
      <c r="H1291" s="313">
        <v>30000</v>
      </c>
    </row>
    <row r="1292" spans="1:8" x14ac:dyDescent="0.2">
      <c r="A1292" s="313">
        <v>1849000840</v>
      </c>
      <c r="B1292" s="313" t="s">
        <v>1050</v>
      </c>
      <c r="C1292" s="314">
        <v>20640</v>
      </c>
      <c r="D1292" s="313">
        <v>20640</v>
      </c>
      <c r="F1292" s="313">
        <v>-20640</v>
      </c>
      <c r="G1292" s="313">
        <v>3000</v>
      </c>
    </row>
    <row r="1293" spans="1:8" x14ac:dyDescent="0.2">
      <c r="A1293" s="313">
        <v>1849000842</v>
      </c>
      <c r="B1293" s="313" t="s">
        <v>1052</v>
      </c>
      <c r="C1293" s="314">
        <v>37560</v>
      </c>
      <c r="D1293" s="313">
        <v>37560</v>
      </c>
      <c r="E1293" s="313">
        <v>29018</v>
      </c>
      <c r="F1293" s="313">
        <v>-8542</v>
      </c>
      <c r="G1293" s="313">
        <v>43493</v>
      </c>
      <c r="H1293" s="313">
        <v>55402</v>
      </c>
    </row>
    <row r="1294" spans="1:8" x14ac:dyDescent="0.2">
      <c r="A1294" s="313">
        <v>1849000843</v>
      </c>
      <c r="B1294" s="313" t="s">
        <v>1053</v>
      </c>
      <c r="E1294" s="313">
        <v>0</v>
      </c>
      <c r="G1294" s="313">
        <v>14325</v>
      </c>
      <c r="H1294" s="313">
        <v>0</v>
      </c>
    </row>
    <row r="1295" spans="1:8" x14ac:dyDescent="0.2">
      <c r="A1295" s="313">
        <v>1849000844</v>
      </c>
      <c r="B1295" s="313" t="s">
        <v>1054</v>
      </c>
      <c r="C1295" s="314">
        <v>104820</v>
      </c>
      <c r="D1295" s="313">
        <v>104820</v>
      </c>
      <c r="E1295" s="313">
        <v>90477</v>
      </c>
      <c r="F1295" s="313">
        <v>-14343</v>
      </c>
      <c r="G1295" s="313">
        <v>106422</v>
      </c>
      <c r="H1295" s="313">
        <v>260113</v>
      </c>
    </row>
    <row r="1296" spans="1:8" x14ac:dyDescent="0.2">
      <c r="A1296" s="313">
        <v>1849000845</v>
      </c>
      <c r="B1296" s="313" t="s">
        <v>1055</v>
      </c>
      <c r="C1296" s="314">
        <v>93038</v>
      </c>
      <c r="D1296" s="313">
        <v>93038</v>
      </c>
      <c r="E1296" s="313">
        <v>63009</v>
      </c>
      <c r="F1296" s="313">
        <v>-30029</v>
      </c>
      <c r="G1296" s="313">
        <v>79422</v>
      </c>
      <c r="H1296" s="313">
        <v>47970</v>
      </c>
    </row>
    <row r="1297" spans="1:8" x14ac:dyDescent="0.2">
      <c r="A1297" s="313">
        <v>1849000846</v>
      </c>
      <c r="B1297" s="313" t="s">
        <v>1146</v>
      </c>
      <c r="H1297" s="313">
        <v>24000</v>
      </c>
    </row>
    <row r="1298" spans="1:8" x14ac:dyDescent="0.2">
      <c r="A1298" s="313">
        <v>1849000851</v>
      </c>
      <c r="B1298" s="313" t="s">
        <v>70</v>
      </c>
      <c r="C1298" s="314">
        <v>168000</v>
      </c>
      <c r="D1298" s="313">
        <v>168000</v>
      </c>
      <c r="E1298" s="313">
        <v>147510</v>
      </c>
      <c r="F1298" s="313">
        <v>-20490</v>
      </c>
      <c r="G1298" s="313">
        <v>154374</v>
      </c>
      <c r="H1298" s="313">
        <v>146182</v>
      </c>
    </row>
    <row r="1299" spans="1:8" x14ac:dyDescent="0.2">
      <c r="A1299" s="313">
        <v>1849001841</v>
      </c>
      <c r="B1299" s="313" t="s">
        <v>1366</v>
      </c>
      <c r="C1299" s="314">
        <v>200000</v>
      </c>
      <c r="D1299" s="313">
        <v>200000</v>
      </c>
      <c r="E1299" s="313">
        <v>173590.09</v>
      </c>
      <c r="F1299" s="313">
        <v>-26409.91</v>
      </c>
      <c r="G1299" s="313">
        <v>15000</v>
      </c>
      <c r="H1299" s="313">
        <v>11431.7</v>
      </c>
    </row>
    <row r="1300" spans="1:8" x14ac:dyDescent="0.2">
      <c r="A1300" s="313">
        <v>1849001844</v>
      </c>
      <c r="B1300" s="313" t="s">
        <v>485</v>
      </c>
      <c r="G1300" s="313">
        <v>177855.51</v>
      </c>
      <c r="H1300" s="313">
        <v>145182.51999999999</v>
      </c>
    </row>
    <row r="1301" spans="1:8" x14ac:dyDescent="0.2">
      <c r="A1301" s="313">
        <v>1849001847</v>
      </c>
      <c r="B1301" s="313" t="s">
        <v>486</v>
      </c>
      <c r="C1301" s="314">
        <v>15028</v>
      </c>
      <c r="D1301" s="313">
        <v>15028</v>
      </c>
      <c r="E1301" s="313">
        <v>16588</v>
      </c>
      <c r="F1301" s="313">
        <v>1560</v>
      </c>
      <c r="G1301" s="313">
        <v>10167</v>
      </c>
      <c r="H1301" s="313">
        <v>13770</v>
      </c>
    </row>
    <row r="1302" spans="1:8" x14ac:dyDescent="0.2">
      <c r="A1302" s="313">
        <v>1849001849</v>
      </c>
      <c r="B1302" s="313" t="s">
        <v>487</v>
      </c>
      <c r="C1302" s="314">
        <v>21008</v>
      </c>
      <c r="D1302" s="313">
        <v>21008</v>
      </c>
      <c r="E1302" s="313">
        <v>14047</v>
      </c>
      <c r="F1302" s="313">
        <v>-6961</v>
      </c>
      <c r="G1302" s="313">
        <v>17777</v>
      </c>
      <c r="H1302" s="313">
        <v>15951</v>
      </c>
    </row>
    <row r="1303" spans="1:8" x14ac:dyDescent="0.2">
      <c r="A1303" s="313">
        <v>1849002849</v>
      </c>
      <c r="B1303" s="313" t="s">
        <v>1056</v>
      </c>
      <c r="E1303" s="313">
        <v>7975</v>
      </c>
      <c r="F1303" s="313">
        <v>7975</v>
      </c>
      <c r="G1303" s="313">
        <v>0</v>
      </c>
      <c r="H1303" s="313">
        <v>0</v>
      </c>
    </row>
    <row r="1304" spans="1:8" x14ac:dyDescent="0.2">
      <c r="A1304" s="313" t="s">
        <v>277</v>
      </c>
      <c r="B1304" s="313" t="s">
        <v>1022</v>
      </c>
      <c r="C1304" s="314">
        <v>46861140</v>
      </c>
      <c r="D1304" s="313">
        <v>46861140</v>
      </c>
      <c r="E1304" s="313">
        <v>37910476.509999998</v>
      </c>
      <c r="F1304" s="313">
        <v>-8950663.4900000002</v>
      </c>
      <c r="G1304" s="313">
        <v>44157582.920000002</v>
      </c>
      <c r="H1304" s="313">
        <v>42791477.530000001</v>
      </c>
    </row>
    <row r="1305" spans="1:8" x14ac:dyDescent="0.2">
      <c r="A1305" s="313" t="s">
        <v>277</v>
      </c>
      <c r="B1305" s="313" t="s">
        <v>1008</v>
      </c>
      <c r="C1305" s="314">
        <v>60241003</v>
      </c>
      <c r="D1305" s="313">
        <v>60241003</v>
      </c>
      <c r="E1305" s="313">
        <v>49562007.920000002</v>
      </c>
      <c r="F1305" s="313">
        <v>-10678995.08</v>
      </c>
      <c r="G1305" s="313">
        <v>57077675.799999997</v>
      </c>
      <c r="H1305" s="313">
        <v>54901476.869999997</v>
      </c>
    </row>
    <row r="1306" spans="1:8" x14ac:dyDescent="0.2">
      <c r="A1306" s="313" t="s">
        <v>281</v>
      </c>
      <c r="B1306" s="313" t="s">
        <v>1057</v>
      </c>
    </row>
    <row r="1307" spans="1:8" x14ac:dyDescent="0.2">
      <c r="A1307" s="313" t="s">
        <v>1058</v>
      </c>
      <c r="B1307" s="313" t="s">
        <v>1057</v>
      </c>
    </row>
    <row r="1308" spans="1:8" x14ac:dyDescent="0.2">
      <c r="A1308" s="313">
        <v>1649000691</v>
      </c>
      <c r="B1308" s="313" t="s">
        <v>1226</v>
      </c>
      <c r="E1308" s="313">
        <v>16810.28</v>
      </c>
      <c r="F1308" s="313">
        <v>16810.28</v>
      </c>
      <c r="G1308" s="313">
        <v>16810.28</v>
      </c>
      <c r="H1308" s="313">
        <v>16810.28</v>
      </c>
    </row>
    <row r="1309" spans="1:8" x14ac:dyDescent="0.2">
      <c r="A1309" s="313">
        <v>1649000692</v>
      </c>
      <c r="B1309" s="313" t="s">
        <v>34</v>
      </c>
      <c r="E1309" s="313">
        <v>10372.780000000001</v>
      </c>
      <c r="F1309" s="313">
        <v>10372.780000000001</v>
      </c>
      <c r="G1309" s="313">
        <v>11272.23</v>
      </c>
      <c r="H1309" s="313">
        <v>12082.4</v>
      </c>
    </row>
    <row r="1310" spans="1:8" x14ac:dyDescent="0.2">
      <c r="A1310" s="313">
        <v>1649000693</v>
      </c>
      <c r="B1310" s="313" t="s">
        <v>35</v>
      </c>
      <c r="E1310" s="313">
        <v>2729.55</v>
      </c>
      <c r="F1310" s="313">
        <v>2729.55</v>
      </c>
      <c r="G1310" s="313">
        <v>2802.54</v>
      </c>
      <c r="H1310" s="313">
        <v>3046.47</v>
      </c>
    </row>
    <row r="1311" spans="1:8" x14ac:dyDescent="0.2">
      <c r="A1311" s="313">
        <v>1649100691</v>
      </c>
      <c r="B1311" s="313" t="s">
        <v>1059</v>
      </c>
      <c r="C1311" s="314">
        <v>7100463</v>
      </c>
      <c r="D1311" s="313">
        <v>7100463</v>
      </c>
      <c r="E1311" s="313">
        <v>5669810.7999999998</v>
      </c>
      <c r="F1311" s="313">
        <v>-1430652.2</v>
      </c>
      <c r="G1311" s="313">
        <v>6828227.71</v>
      </c>
      <c r="H1311" s="313">
        <v>6806690.0300000003</v>
      </c>
    </row>
    <row r="1312" spans="1:8" x14ac:dyDescent="0.2">
      <c r="A1312" s="313">
        <v>1649100692</v>
      </c>
      <c r="B1312" s="313" t="s">
        <v>1060</v>
      </c>
      <c r="C1312" s="314">
        <v>1379877</v>
      </c>
      <c r="D1312" s="313">
        <v>1379877</v>
      </c>
      <c r="E1312" s="313">
        <v>1322447.43</v>
      </c>
      <c r="F1312" s="313">
        <v>-57429.57</v>
      </c>
      <c r="G1312" s="313">
        <v>1734238.63</v>
      </c>
      <c r="H1312" s="313">
        <v>1846082.04</v>
      </c>
    </row>
    <row r="1313" spans="1:8" x14ac:dyDescent="0.2">
      <c r="A1313" s="313">
        <v>1649100693</v>
      </c>
      <c r="B1313" s="313" t="s">
        <v>1061</v>
      </c>
      <c r="C1313" s="314">
        <v>460835</v>
      </c>
      <c r="D1313" s="313">
        <v>460835</v>
      </c>
      <c r="E1313" s="313">
        <v>389327.07</v>
      </c>
      <c r="F1313" s="313">
        <v>-71507.929999999993</v>
      </c>
      <c r="G1313" s="313">
        <v>567529.80000000005</v>
      </c>
      <c r="H1313" s="313">
        <v>706525.04</v>
      </c>
    </row>
    <row r="1314" spans="1:8" x14ac:dyDescent="0.2">
      <c r="A1314" s="313" t="s">
        <v>277</v>
      </c>
      <c r="B1314" s="313" t="s">
        <v>1057</v>
      </c>
      <c r="C1314" s="314">
        <v>8941175</v>
      </c>
      <c r="D1314" s="313">
        <v>8941175</v>
      </c>
      <c r="E1314" s="313">
        <v>7411497.9100000001</v>
      </c>
      <c r="F1314" s="313">
        <v>-1529677.09</v>
      </c>
      <c r="G1314" s="313">
        <v>9160881.1899999995</v>
      </c>
      <c r="H1314" s="313">
        <v>9391236.2599999998</v>
      </c>
    </row>
    <row r="1315" spans="1:8" x14ac:dyDescent="0.2">
      <c r="A1315" s="313" t="s">
        <v>1062</v>
      </c>
      <c r="B1315" s="313" t="s">
        <v>1063</v>
      </c>
    </row>
    <row r="1316" spans="1:8" x14ac:dyDescent="0.2">
      <c r="A1316" s="313">
        <v>1649000694</v>
      </c>
      <c r="B1316" s="313" t="s">
        <v>1064</v>
      </c>
      <c r="C1316" s="314">
        <v>1818943</v>
      </c>
      <c r="D1316" s="313">
        <v>1818943</v>
      </c>
      <c r="E1316" s="313">
        <v>1517688.25</v>
      </c>
      <c r="F1316" s="313">
        <v>-301254.75</v>
      </c>
      <c r="G1316" s="313">
        <v>1848098.6</v>
      </c>
      <c r="H1316" s="313">
        <v>1920687.03</v>
      </c>
    </row>
    <row r="1317" spans="1:8" x14ac:dyDescent="0.2">
      <c r="A1317" s="313">
        <v>1649000695</v>
      </c>
      <c r="B1317" s="313" t="s">
        <v>1065</v>
      </c>
      <c r="C1317" s="314">
        <v>245248</v>
      </c>
      <c r="D1317" s="313">
        <v>245248</v>
      </c>
      <c r="E1317" s="313">
        <v>217222.97</v>
      </c>
      <c r="F1317" s="313">
        <v>-28025.03</v>
      </c>
      <c r="G1317" s="313">
        <v>290843.34999999998</v>
      </c>
      <c r="H1317" s="313">
        <v>333843.64</v>
      </c>
    </row>
    <row r="1318" spans="1:8" x14ac:dyDescent="0.2">
      <c r="A1318" s="313">
        <v>1649000696</v>
      </c>
      <c r="B1318" s="313" t="s">
        <v>1066</v>
      </c>
      <c r="C1318" s="314">
        <v>40398</v>
      </c>
      <c r="D1318" s="313">
        <v>40398</v>
      </c>
      <c r="E1318" s="313">
        <v>37711.97</v>
      </c>
      <c r="F1318" s="313">
        <v>-2686.03</v>
      </c>
      <c r="G1318" s="313">
        <v>66698.649999999994</v>
      </c>
      <c r="H1318" s="313">
        <v>127457.72</v>
      </c>
    </row>
    <row r="1319" spans="1:8" x14ac:dyDescent="0.2">
      <c r="A1319" s="313" t="s">
        <v>277</v>
      </c>
      <c r="B1319" s="313" t="s">
        <v>1063</v>
      </c>
      <c r="C1319" s="314">
        <v>2104589</v>
      </c>
      <c r="D1319" s="313">
        <v>2104589</v>
      </c>
      <c r="E1319" s="313">
        <v>1772623.19</v>
      </c>
      <c r="F1319" s="313">
        <v>-331965.81</v>
      </c>
      <c r="G1319" s="313">
        <v>2205640.6</v>
      </c>
      <c r="H1319" s="313">
        <v>2381988.39</v>
      </c>
    </row>
    <row r="1320" spans="1:8" x14ac:dyDescent="0.2">
      <c r="A1320" s="313" t="s">
        <v>277</v>
      </c>
      <c r="B1320" s="313" t="s">
        <v>1057</v>
      </c>
      <c r="C1320" s="314">
        <v>11045764</v>
      </c>
      <c r="D1320" s="313">
        <v>11045764</v>
      </c>
      <c r="E1320" s="313">
        <v>9184121.0999999996</v>
      </c>
      <c r="F1320" s="313">
        <v>-1861642.9</v>
      </c>
      <c r="G1320" s="313">
        <v>11366521.789999999</v>
      </c>
      <c r="H1320" s="313">
        <v>11773224.65</v>
      </c>
    </row>
    <row r="1321" spans="1:8" x14ac:dyDescent="0.2">
      <c r="A1321" s="313" t="s">
        <v>1067</v>
      </c>
      <c r="B1321" s="313" t="s">
        <v>1068</v>
      </c>
    </row>
    <row r="1322" spans="1:8" x14ac:dyDescent="0.2">
      <c r="A1322" s="313">
        <v>1631000610</v>
      </c>
      <c r="B1322" s="313" t="s">
        <v>1069</v>
      </c>
      <c r="C1322" s="314">
        <v>600000</v>
      </c>
      <c r="D1322" s="313">
        <v>600000</v>
      </c>
      <c r="E1322" s="313">
        <v>560532.85</v>
      </c>
      <c r="F1322" s="313">
        <v>-39467.15</v>
      </c>
      <c r="G1322" s="313">
        <v>635139.05000000005</v>
      </c>
      <c r="H1322" s="313">
        <v>604540.61</v>
      </c>
    </row>
    <row r="1323" spans="1:8" x14ac:dyDescent="0.2">
      <c r="A1323" s="313">
        <v>1631100610</v>
      </c>
      <c r="B1323" s="313" t="s">
        <v>1070</v>
      </c>
      <c r="C1323" s="314">
        <v>160000</v>
      </c>
      <c r="D1323" s="313">
        <v>160000</v>
      </c>
      <c r="E1323" s="313">
        <v>259011</v>
      </c>
      <c r="F1323" s="313">
        <v>99011</v>
      </c>
      <c r="G1323" s="313">
        <v>234762.5</v>
      </c>
      <c r="H1323" s="313">
        <v>143041.56</v>
      </c>
    </row>
    <row r="1324" spans="1:8" x14ac:dyDescent="0.2">
      <c r="A1324" s="313">
        <v>1632000620</v>
      </c>
      <c r="B1324" s="313" t="s">
        <v>1071</v>
      </c>
      <c r="C1324" s="314">
        <v>200000</v>
      </c>
      <c r="D1324" s="313">
        <v>200000</v>
      </c>
      <c r="E1324" s="313">
        <v>92654.12</v>
      </c>
      <c r="F1324" s="313">
        <v>-107345.88</v>
      </c>
      <c r="G1324" s="313">
        <v>189698.12</v>
      </c>
      <c r="H1324" s="313">
        <v>237210.48</v>
      </c>
    </row>
    <row r="1325" spans="1:8" x14ac:dyDescent="0.2">
      <c r="A1325" s="313">
        <v>1632000623</v>
      </c>
      <c r="B1325" s="313" t="s">
        <v>1072</v>
      </c>
      <c r="C1325" s="314">
        <v>700000</v>
      </c>
      <c r="D1325" s="313">
        <v>700000</v>
      </c>
      <c r="F1325" s="313">
        <v>-700000</v>
      </c>
      <c r="G1325" s="313">
        <v>885497</v>
      </c>
      <c r="H1325" s="313">
        <v>901434</v>
      </c>
    </row>
    <row r="1326" spans="1:8" x14ac:dyDescent="0.2">
      <c r="A1326" s="313" t="s">
        <v>277</v>
      </c>
      <c r="B1326" s="313" t="s">
        <v>1068</v>
      </c>
      <c r="C1326" s="314">
        <v>1660000</v>
      </c>
      <c r="D1326" s="313">
        <v>1660000</v>
      </c>
      <c r="E1326" s="313">
        <v>912197.97</v>
      </c>
      <c r="F1326" s="313">
        <v>-747802.03</v>
      </c>
      <c r="G1326" s="313">
        <v>1945096.67</v>
      </c>
      <c r="H1326" s="313">
        <v>1886226.65</v>
      </c>
    </row>
    <row r="1327" spans="1:8" x14ac:dyDescent="0.2">
      <c r="A1327" s="313" t="s">
        <v>1073</v>
      </c>
      <c r="B1327" s="313" t="s">
        <v>1074</v>
      </c>
    </row>
    <row r="1328" spans="1:8" x14ac:dyDescent="0.2">
      <c r="A1328" s="313">
        <v>1991000523</v>
      </c>
      <c r="B1328" s="313" t="s">
        <v>1075</v>
      </c>
      <c r="C1328" s="314">
        <v>588534</v>
      </c>
      <c r="D1328" s="313">
        <v>588534</v>
      </c>
      <c r="E1328" s="313">
        <v>422173</v>
      </c>
      <c r="F1328" s="313">
        <v>-166361</v>
      </c>
      <c r="G1328" s="313">
        <v>577789.99</v>
      </c>
      <c r="H1328" s="313">
        <v>361310</v>
      </c>
    </row>
    <row r="1329" spans="1:8" x14ac:dyDescent="0.2">
      <c r="A1329" s="313">
        <v>1993000980</v>
      </c>
      <c r="B1329" s="313" t="s">
        <v>1076</v>
      </c>
      <c r="C1329" s="314">
        <v>792638</v>
      </c>
      <c r="D1329" s="313">
        <v>792638</v>
      </c>
      <c r="E1329" s="313">
        <v>732284.77</v>
      </c>
      <c r="F1329" s="313">
        <v>-60353.23</v>
      </c>
      <c r="G1329" s="313">
        <v>4971101.5999999996</v>
      </c>
      <c r="H1329" s="313">
        <v>1632720.97</v>
      </c>
    </row>
    <row r="1330" spans="1:8" x14ac:dyDescent="0.2">
      <c r="A1330" s="313" t="s">
        <v>277</v>
      </c>
      <c r="B1330" s="313" t="s">
        <v>1074</v>
      </c>
      <c r="C1330" s="314">
        <v>1381172</v>
      </c>
      <c r="D1330" s="313">
        <v>1381172</v>
      </c>
      <c r="E1330" s="313">
        <v>1154457.77</v>
      </c>
      <c r="F1330" s="313">
        <v>-226714.23</v>
      </c>
      <c r="G1330" s="313">
        <v>5548891.5899999999</v>
      </c>
      <c r="H1330" s="313">
        <v>1994030.97</v>
      </c>
    </row>
    <row r="1331" spans="1:8" x14ac:dyDescent="0.2">
      <c r="A1331" s="313" t="s">
        <v>277</v>
      </c>
      <c r="B1331" s="313" t="s">
        <v>507</v>
      </c>
      <c r="C1331" s="314">
        <v>368561484</v>
      </c>
      <c r="D1331" s="313">
        <v>368554626.05000001</v>
      </c>
      <c r="E1331" s="313">
        <v>298356286.69999999</v>
      </c>
      <c r="F1331" s="313">
        <v>-70198339.349999994</v>
      </c>
      <c r="G1331" s="313">
        <v>358637698.73000002</v>
      </c>
      <c r="H1331" s="313">
        <v>345062902.76999998</v>
      </c>
    </row>
    <row r="1332" spans="1:8" x14ac:dyDescent="0.2">
      <c r="A1332" s="313" t="s">
        <v>1454</v>
      </c>
      <c r="B1332" s="313" t="s">
        <v>1077</v>
      </c>
    </row>
    <row r="1333" spans="1:8" x14ac:dyDescent="0.2">
      <c r="A1333" s="313">
        <v>1995000860</v>
      </c>
      <c r="B1333" s="313" t="s">
        <v>1078</v>
      </c>
      <c r="C1333" s="314">
        <v>20300000</v>
      </c>
      <c r="D1333" s="313">
        <v>20300000</v>
      </c>
      <c r="F1333" s="313">
        <v>-20300000</v>
      </c>
      <c r="G1333" s="313">
        <v>24809719</v>
      </c>
      <c r="H1333" s="313">
        <v>20904078</v>
      </c>
    </row>
    <row r="1334" spans="1:8" x14ac:dyDescent="0.2">
      <c r="A1334" s="313" t="s">
        <v>277</v>
      </c>
      <c r="B1334" s="313" t="s">
        <v>1077</v>
      </c>
      <c r="C1334" s="314">
        <v>20300000</v>
      </c>
      <c r="D1334" s="313">
        <v>20300000</v>
      </c>
      <c r="F1334" s="313">
        <v>-20300000</v>
      </c>
      <c r="G1334" s="313">
        <v>24809719</v>
      </c>
      <c r="H1334" s="313">
        <v>20904078</v>
      </c>
    </row>
    <row r="1335" spans="1:8" x14ac:dyDescent="0.2">
      <c r="A1335" s="313" t="s">
        <v>277</v>
      </c>
      <c r="B1335" s="313" t="s">
        <v>506</v>
      </c>
      <c r="C1335" s="314">
        <v>388861484</v>
      </c>
      <c r="D1335" s="313">
        <v>388854626.05000001</v>
      </c>
      <c r="E1335" s="313">
        <v>298356286.69999999</v>
      </c>
      <c r="F1335" s="313">
        <v>-90498339.349999994</v>
      </c>
      <c r="G1335" s="313">
        <v>383447417.73000002</v>
      </c>
      <c r="H1335" s="313">
        <v>365966980.76999998</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1335"/>
  <sheetViews>
    <sheetView rightToLeft="1" workbookViewId="0">
      <pane ySplit="1" topLeftCell="A1145" activePane="bottomLeft" state="frozen"/>
      <selection pane="bottomLeft" activeCell="B1158" sqref="B1158"/>
    </sheetView>
  </sheetViews>
  <sheetFormatPr baseColWidth="10" defaultColWidth="9.1640625" defaultRowHeight="15" x14ac:dyDescent="0.2"/>
  <cols>
    <col min="1" max="1" width="12.5" style="313" bestFit="1" customWidth="1"/>
    <col min="2" max="2" width="42.5" style="313" bestFit="1" customWidth="1"/>
    <col min="3" max="3" width="16.83203125" style="314" bestFit="1" customWidth="1"/>
    <col min="4" max="4" width="11.33203125" style="313" bestFit="1" customWidth="1"/>
    <col min="5" max="5" width="14.5" style="313" bestFit="1" customWidth="1"/>
    <col min="6" max="16384" width="9.1640625" style="313"/>
  </cols>
  <sheetData>
    <row r="1" spans="1:5" x14ac:dyDescent="0.2">
      <c r="A1" s="313" t="s">
        <v>266</v>
      </c>
      <c r="B1" s="313" t="s">
        <v>267</v>
      </c>
      <c r="C1" s="314" t="s">
        <v>2053</v>
      </c>
      <c r="D1" s="313" t="s">
        <v>2064</v>
      </c>
    </row>
    <row r="2" spans="1:5" x14ac:dyDescent="0.2">
      <c r="A2" s="313" t="s">
        <v>268</v>
      </c>
      <c r="B2" s="313" t="s">
        <v>269</v>
      </c>
    </row>
    <row r="3" spans="1:5" x14ac:dyDescent="0.2">
      <c r="A3" s="313" t="s">
        <v>270</v>
      </c>
      <c r="B3" s="313" t="s">
        <v>271</v>
      </c>
    </row>
    <row r="4" spans="1:5" x14ac:dyDescent="0.2">
      <c r="A4" s="313" t="s">
        <v>272</v>
      </c>
      <c r="B4" s="313" t="s">
        <v>273</v>
      </c>
    </row>
    <row r="5" spans="1:5" x14ac:dyDescent="0.2">
      <c r="A5" s="313">
        <v>1111100100</v>
      </c>
      <c r="B5" s="313" t="s">
        <v>273</v>
      </c>
      <c r="C5" s="314">
        <v>115068520</v>
      </c>
      <c r="D5" s="313" t="e">
        <f>VLOOKUP(A5,#REF!,4,FALSE)</f>
        <v>#REF!</v>
      </c>
      <c r="E5" s="315" t="e">
        <f>C5-D5</f>
        <v>#REF!</v>
      </c>
    </row>
    <row r="6" spans="1:5" x14ac:dyDescent="0.2">
      <c r="A6" s="313">
        <v>1111200100</v>
      </c>
      <c r="B6" s="313" t="s">
        <v>274</v>
      </c>
      <c r="C6" s="314">
        <v>10649000</v>
      </c>
      <c r="D6" s="313" t="e">
        <f>VLOOKUP(A6,#REF!,4,FALSE)</f>
        <v>#REF!</v>
      </c>
      <c r="E6" s="315" t="e">
        <f t="shared" ref="E6:E69" si="0">C6-D6</f>
        <v>#REF!</v>
      </c>
    </row>
    <row r="7" spans="1:5" x14ac:dyDescent="0.2">
      <c r="A7" s="313" t="s">
        <v>277</v>
      </c>
      <c r="B7" s="313" t="s">
        <v>273</v>
      </c>
      <c r="C7" s="314">
        <v>125717520</v>
      </c>
      <c r="D7" s="313" t="e">
        <f>VLOOKUP(A7,#REF!,4,FALSE)</f>
        <v>#REF!</v>
      </c>
      <c r="E7" s="315" t="e">
        <f t="shared" si="0"/>
        <v>#REF!</v>
      </c>
    </row>
    <row r="8" spans="1:5" x14ac:dyDescent="0.2">
      <c r="A8" s="313" t="s">
        <v>278</v>
      </c>
      <c r="B8" s="313" t="s">
        <v>279</v>
      </c>
      <c r="D8" s="313" t="e">
        <f>VLOOKUP(A8,#REF!,4,FALSE)</f>
        <v>#REF!</v>
      </c>
      <c r="E8" s="315" t="e">
        <f t="shared" si="0"/>
        <v>#REF!</v>
      </c>
    </row>
    <row r="9" spans="1:5" x14ac:dyDescent="0.2">
      <c r="A9" s="313">
        <v>1413100212</v>
      </c>
      <c r="B9" s="313" t="s">
        <v>280</v>
      </c>
      <c r="C9" s="314">
        <v>420000</v>
      </c>
      <c r="D9" s="313" t="e">
        <f>VLOOKUP(A9,#REF!,4,FALSE)</f>
        <v>#REF!</v>
      </c>
      <c r="E9" s="315" t="e">
        <f t="shared" si="0"/>
        <v>#REF!</v>
      </c>
    </row>
    <row r="10" spans="1:5" x14ac:dyDescent="0.2">
      <c r="A10" s="313">
        <v>1413100216</v>
      </c>
      <c r="B10" s="313" t="s">
        <v>1444</v>
      </c>
      <c r="C10" s="314">
        <v>2000</v>
      </c>
      <c r="D10" s="313" t="e">
        <f>VLOOKUP(A10,#REF!,4,FALSE)</f>
        <v>#REF!</v>
      </c>
      <c r="E10" s="315" t="e">
        <f t="shared" si="0"/>
        <v>#REF!</v>
      </c>
    </row>
    <row r="11" spans="1:5" x14ac:dyDescent="0.2">
      <c r="A11" s="313">
        <v>1413100217</v>
      </c>
      <c r="B11" s="313" t="s">
        <v>1445</v>
      </c>
      <c r="C11" s="314">
        <v>2600</v>
      </c>
      <c r="D11" s="313" t="e">
        <f>VLOOKUP(A11,#REF!,4,FALSE)</f>
        <v>#REF!</v>
      </c>
      <c r="E11" s="315" t="e">
        <f t="shared" si="0"/>
        <v>#REF!</v>
      </c>
    </row>
    <row r="12" spans="1:5" x14ac:dyDescent="0.2">
      <c r="A12" s="313" t="s">
        <v>277</v>
      </c>
      <c r="B12" s="313" t="s">
        <v>279</v>
      </c>
      <c r="C12" s="314">
        <v>424600</v>
      </c>
      <c r="D12" s="313" t="e">
        <f>VLOOKUP(A12,#REF!,4,FALSE)</f>
        <v>#REF!</v>
      </c>
      <c r="E12" s="315" t="e">
        <f t="shared" si="0"/>
        <v>#REF!</v>
      </c>
    </row>
    <row r="13" spans="1:5" x14ac:dyDescent="0.2">
      <c r="A13" s="313" t="s">
        <v>281</v>
      </c>
      <c r="B13" s="313" t="s">
        <v>1446</v>
      </c>
      <c r="D13" s="313" t="e">
        <f>VLOOKUP(A13,#REF!,4,FALSE)</f>
        <v>#REF!</v>
      </c>
      <c r="E13" s="315" t="e">
        <f t="shared" si="0"/>
        <v>#REF!</v>
      </c>
    </row>
    <row r="14" spans="1:5" x14ac:dyDescent="0.2">
      <c r="A14" s="313" t="s">
        <v>282</v>
      </c>
      <c r="B14" s="313" t="s">
        <v>283</v>
      </c>
      <c r="D14" s="313" t="e">
        <f>VLOOKUP(A14,#REF!,4,FALSE)</f>
        <v>#REF!</v>
      </c>
      <c r="E14" s="315" t="e">
        <f t="shared" si="0"/>
        <v>#REF!</v>
      </c>
    </row>
    <row r="15" spans="1:5" x14ac:dyDescent="0.2">
      <c r="A15" s="313">
        <v>1311000690</v>
      </c>
      <c r="B15" s="313" t="s">
        <v>1184</v>
      </c>
      <c r="D15" s="313" t="e">
        <f>VLOOKUP(A15,#REF!,4,FALSE)</f>
        <v>#REF!</v>
      </c>
      <c r="E15" s="315" t="e">
        <f t="shared" si="0"/>
        <v>#REF!</v>
      </c>
    </row>
    <row r="16" spans="1:5" x14ac:dyDescent="0.2">
      <c r="A16" s="313">
        <v>1312200420</v>
      </c>
      <c r="B16" s="313" t="s">
        <v>2049</v>
      </c>
      <c r="D16" s="313" t="e">
        <f>VLOOKUP(A16,#REF!,4,FALSE)</f>
        <v>#REF!</v>
      </c>
      <c r="E16" s="315" t="e">
        <f t="shared" si="0"/>
        <v>#REF!</v>
      </c>
    </row>
    <row r="17" spans="1:5" x14ac:dyDescent="0.2">
      <c r="A17" s="313">
        <v>1312200440</v>
      </c>
      <c r="B17" s="313" t="s">
        <v>284</v>
      </c>
      <c r="C17" s="314">
        <v>10000</v>
      </c>
      <c r="D17" s="313" t="e">
        <f>VLOOKUP(A17,#REF!,4,FALSE)</f>
        <v>#REF!</v>
      </c>
      <c r="E17" s="315" t="e">
        <f t="shared" si="0"/>
        <v>#REF!</v>
      </c>
    </row>
    <row r="18" spans="1:5" x14ac:dyDescent="0.2">
      <c r="A18" s="313">
        <v>1312200790</v>
      </c>
      <c r="B18" s="313" t="s">
        <v>1387</v>
      </c>
      <c r="C18" s="314">
        <v>129114</v>
      </c>
      <c r="D18" s="313" t="e">
        <f>VLOOKUP(A18,#REF!,4,FALSE)</f>
        <v>#REF!</v>
      </c>
      <c r="E18" s="315" t="e">
        <f t="shared" si="0"/>
        <v>#REF!</v>
      </c>
    </row>
    <row r="19" spans="1:5" x14ac:dyDescent="0.2">
      <c r="A19" s="313">
        <v>1312210420</v>
      </c>
      <c r="B19" s="313" t="s">
        <v>2056</v>
      </c>
      <c r="D19" s="313" t="e">
        <f>VLOOKUP(A19,#REF!,4,FALSE)</f>
        <v>#REF!</v>
      </c>
      <c r="E19" s="315" t="e">
        <f t="shared" si="0"/>
        <v>#REF!</v>
      </c>
    </row>
    <row r="20" spans="1:5" x14ac:dyDescent="0.2">
      <c r="A20" s="313">
        <v>1312500440</v>
      </c>
      <c r="B20" s="313" t="s">
        <v>286</v>
      </c>
      <c r="C20" s="314">
        <v>1969169</v>
      </c>
      <c r="D20" s="313" t="e">
        <f>VLOOKUP(A20,#REF!,4,FALSE)</f>
        <v>#REF!</v>
      </c>
      <c r="E20" s="315" t="e">
        <f t="shared" si="0"/>
        <v>#REF!</v>
      </c>
    </row>
    <row r="21" spans="1:5" x14ac:dyDescent="0.2">
      <c r="A21" s="313">
        <v>1312501440</v>
      </c>
      <c r="B21" s="313" t="s">
        <v>287</v>
      </c>
      <c r="C21" s="314">
        <v>607790</v>
      </c>
      <c r="D21" s="313" t="e">
        <f>VLOOKUP(A21,#REF!,4,FALSE)</f>
        <v>#REF!</v>
      </c>
      <c r="E21" s="315" t="e">
        <f t="shared" si="0"/>
        <v>#REF!</v>
      </c>
    </row>
    <row r="22" spans="1:5" x14ac:dyDescent="0.2">
      <c r="A22" s="313">
        <v>1313200410</v>
      </c>
      <c r="B22" s="313" t="s">
        <v>1390</v>
      </c>
      <c r="C22" s="314">
        <v>25000</v>
      </c>
      <c r="D22" s="313" t="e">
        <f>VLOOKUP(A22,#REF!,4,FALSE)</f>
        <v>#REF!</v>
      </c>
      <c r="E22" s="315" t="e">
        <f t="shared" si="0"/>
        <v>#REF!</v>
      </c>
    </row>
    <row r="23" spans="1:5" x14ac:dyDescent="0.2">
      <c r="A23" s="313">
        <v>1313317410</v>
      </c>
      <c r="B23" s="313" t="s">
        <v>289</v>
      </c>
      <c r="C23" s="314">
        <v>1125000</v>
      </c>
      <c r="D23" s="313" t="e">
        <f>VLOOKUP(A23,#REF!,4,FALSE)</f>
        <v>#REF!</v>
      </c>
      <c r="E23" s="315" t="e">
        <f t="shared" si="0"/>
        <v>#REF!</v>
      </c>
    </row>
    <row r="24" spans="1:5" x14ac:dyDescent="0.2">
      <c r="A24" s="313">
        <v>1315700700</v>
      </c>
      <c r="B24" s="313" t="s">
        <v>290</v>
      </c>
      <c r="C24" s="314">
        <v>14200000</v>
      </c>
      <c r="D24" s="313" t="e">
        <f>VLOOKUP(A24,#REF!,4,FALSE)</f>
        <v>#REF!</v>
      </c>
      <c r="E24" s="315" t="e">
        <f t="shared" si="0"/>
        <v>#REF!</v>
      </c>
    </row>
    <row r="25" spans="1:5" x14ac:dyDescent="0.2">
      <c r="A25" s="313">
        <v>1315777700</v>
      </c>
      <c r="B25" s="313" t="s">
        <v>291</v>
      </c>
      <c r="C25" s="314">
        <v>16000000</v>
      </c>
      <c r="D25" s="313" t="e">
        <f>VLOOKUP(A25,#REF!,4,FALSE)</f>
        <v>#REF!</v>
      </c>
      <c r="E25" s="315" t="e">
        <f t="shared" si="0"/>
        <v>#REF!</v>
      </c>
    </row>
    <row r="26" spans="1:5" x14ac:dyDescent="0.2">
      <c r="A26" s="313">
        <v>1315788700</v>
      </c>
      <c r="B26" s="313" t="s">
        <v>292</v>
      </c>
      <c r="C26" s="314">
        <v>7000000</v>
      </c>
      <c r="D26" s="313" t="e">
        <f>VLOOKUP(A26,#REF!,4,FALSE)</f>
        <v>#REF!</v>
      </c>
      <c r="E26" s="315" t="e">
        <f t="shared" si="0"/>
        <v>#REF!</v>
      </c>
    </row>
    <row r="27" spans="1:5" x14ac:dyDescent="0.2">
      <c r="A27" s="313">
        <v>1317500410</v>
      </c>
      <c r="B27" s="313" t="s">
        <v>293</v>
      </c>
      <c r="C27" s="314">
        <v>350000</v>
      </c>
      <c r="D27" s="313" t="e">
        <f>VLOOKUP(A27,#REF!,4,FALSE)</f>
        <v>#REF!</v>
      </c>
      <c r="E27" s="315" t="e">
        <f t="shared" si="0"/>
        <v>#REF!</v>
      </c>
    </row>
    <row r="28" spans="1:5" x14ac:dyDescent="0.2">
      <c r="A28" s="313">
        <v>1317800440</v>
      </c>
      <c r="B28" s="313" t="s">
        <v>1364</v>
      </c>
      <c r="D28" s="313" t="e">
        <f>VLOOKUP(A28,#REF!,4,FALSE)</f>
        <v>#REF!</v>
      </c>
      <c r="E28" s="315" t="e">
        <f t="shared" si="0"/>
        <v>#REF!</v>
      </c>
    </row>
    <row r="29" spans="1:5" x14ac:dyDescent="0.2">
      <c r="A29" s="313">
        <v>1317900790</v>
      </c>
      <c r="B29" s="313" t="s">
        <v>1155</v>
      </c>
      <c r="C29" s="314">
        <v>36667</v>
      </c>
      <c r="D29" s="313" t="e">
        <f>VLOOKUP(A29,#REF!,4,FALSE)</f>
        <v>#REF!</v>
      </c>
      <c r="E29" s="315" t="e">
        <f t="shared" si="0"/>
        <v>#REF!</v>
      </c>
    </row>
    <row r="30" spans="1:5" x14ac:dyDescent="0.2">
      <c r="A30" s="313">
        <v>1317950790</v>
      </c>
      <c r="B30" s="313" t="s">
        <v>294</v>
      </c>
      <c r="C30" s="314">
        <v>513900</v>
      </c>
      <c r="D30" s="313" t="e">
        <f>VLOOKUP(A30,#REF!,4,FALSE)</f>
        <v>#REF!</v>
      </c>
      <c r="E30" s="315" t="e">
        <f t="shared" si="0"/>
        <v>#REF!</v>
      </c>
    </row>
    <row r="31" spans="1:5" x14ac:dyDescent="0.2">
      <c r="A31" s="313" t="s">
        <v>277</v>
      </c>
      <c r="B31" s="313" t="s">
        <v>283</v>
      </c>
      <c r="C31" s="314">
        <v>41966640</v>
      </c>
      <c r="D31" s="313" t="e">
        <f>VLOOKUP(A31,#REF!,4,FALSE)</f>
        <v>#REF!</v>
      </c>
      <c r="E31" s="315" t="e">
        <f t="shared" si="0"/>
        <v>#REF!</v>
      </c>
    </row>
    <row r="32" spans="1:5" x14ac:dyDescent="0.2">
      <c r="A32" s="313" t="s">
        <v>295</v>
      </c>
      <c r="B32" s="313" t="s">
        <v>296</v>
      </c>
      <c r="D32" s="313" t="e">
        <f>VLOOKUP(A32,#REF!,4,FALSE)</f>
        <v>#REF!</v>
      </c>
      <c r="E32" s="315" t="e">
        <f t="shared" si="0"/>
        <v>#REF!</v>
      </c>
    </row>
    <row r="33" spans="1:5" x14ac:dyDescent="0.2">
      <c r="A33" s="313">
        <v>1342400420</v>
      </c>
      <c r="B33" s="313" t="s">
        <v>1407</v>
      </c>
      <c r="D33" s="313" t="e">
        <f>VLOOKUP(A33,#REF!,4,FALSE)</f>
        <v>#REF!</v>
      </c>
      <c r="E33" s="315" t="e">
        <f t="shared" si="0"/>
        <v>#REF!</v>
      </c>
    </row>
    <row r="34" spans="1:5" x14ac:dyDescent="0.2">
      <c r="A34" s="313">
        <v>1343500420</v>
      </c>
      <c r="B34" s="313" t="s">
        <v>1191</v>
      </c>
      <c r="C34" s="314">
        <v>2000</v>
      </c>
      <c r="D34" s="313" t="e">
        <f>VLOOKUP(A34,#REF!,4,FALSE)</f>
        <v>#REF!</v>
      </c>
      <c r="E34" s="315" t="e">
        <f t="shared" si="0"/>
        <v>#REF!</v>
      </c>
    </row>
    <row r="35" spans="1:5" x14ac:dyDescent="0.2">
      <c r="A35" s="313">
        <v>1343523410</v>
      </c>
      <c r="B35" s="313" t="s">
        <v>298</v>
      </c>
      <c r="C35" s="314">
        <v>150200</v>
      </c>
      <c r="D35" s="313" t="e">
        <f>VLOOKUP(A35,#REF!,4,FALSE)</f>
        <v>#REF!</v>
      </c>
      <c r="E35" s="315" t="e">
        <f t="shared" si="0"/>
        <v>#REF!</v>
      </c>
    </row>
    <row r="36" spans="1:5" x14ac:dyDescent="0.2">
      <c r="A36" s="313">
        <v>1343800420</v>
      </c>
      <c r="B36" s="313" t="s">
        <v>299</v>
      </c>
      <c r="C36" s="314">
        <v>48000</v>
      </c>
      <c r="D36" s="313" t="e">
        <f>VLOOKUP(A36,#REF!,4,FALSE)</f>
        <v>#REF!</v>
      </c>
      <c r="E36" s="315" t="e">
        <f t="shared" si="0"/>
        <v>#REF!</v>
      </c>
    </row>
    <row r="37" spans="1:5" x14ac:dyDescent="0.2">
      <c r="A37" s="313">
        <v>1343800421</v>
      </c>
      <c r="B37" s="313" t="s">
        <v>1192</v>
      </c>
      <c r="D37" s="313" t="e">
        <f>VLOOKUP(A37,#REF!,4,FALSE)</f>
        <v>#REF!</v>
      </c>
      <c r="E37" s="315" t="e">
        <f t="shared" si="0"/>
        <v>#REF!</v>
      </c>
    </row>
    <row r="38" spans="1:5" x14ac:dyDescent="0.2">
      <c r="A38" s="313">
        <v>1344300420</v>
      </c>
      <c r="B38" s="313" t="s">
        <v>300</v>
      </c>
      <c r="C38" s="314">
        <v>545333</v>
      </c>
      <c r="D38" s="313" t="e">
        <f>VLOOKUP(A38,#REF!,4,FALSE)</f>
        <v>#REF!</v>
      </c>
      <c r="E38" s="315" t="e">
        <f t="shared" si="0"/>
        <v>#REF!</v>
      </c>
    </row>
    <row r="39" spans="1:5" x14ac:dyDescent="0.2">
      <c r="A39" s="313">
        <v>1344300421</v>
      </c>
      <c r="B39" s="313" t="s">
        <v>301</v>
      </c>
      <c r="C39" s="314">
        <v>31200</v>
      </c>
      <c r="D39" s="313" t="e">
        <f>VLOOKUP(A39,#REF!,4,FALSE)</f>
        <v>#REF!</v>
      </c>
      <c r="E39" s="315" t="e">
        <f t="shared" si="0"/>
        <v>#REF!</v>
      </c>
    </row>
    <row r="40" spans="1:5" x14ac:dyDescent="0.2">
      <c r="A40" s="313">
        <v>1344500420</v>
      </c>
      <c r="B40" s="313" t="s">
        <v>302</v>
      </c>
      <c r="C40" s="314">
        <v>100000</v>
      </c>
      <c r="D40" s="313" t="e">
        <f>VLOOKUP(A40,#REF!,4,FALSE)</f>
        <v>#REF!</v>
      </c>
      <c r="E40" s="315" t="e">
        <f t="shared" si="0"/>
        <v>#REF!</v>
      </c>
    </row>
    <row r="41" spans="1:5" x14ac:dyDescent="0.2">
      <c r="A41" s="313">
        <v>1345100420</v>
      </c>
      <c r="B41" s="313" t="s">
        <v>1196</v>
      </c>
      <c r="C41" s="314">
        <v>5000</v>
      </c>
      <c r="D41" s="313" t="e">
        <f>VLOOKUP(A41,#REF!,4,FALSE)</f>
        <v>#REF!</v>
      </c>
      <c r="E41" s="315" t="e">
        <f t="shared" si="0"/>
        <v>#REF!</v>
      </c>
    </row>
    <row r="42" spans="1:5" x14ac:dyDescent="0.2">
      <c r="A42" s="313">
        <v>1345300420</v>
      </c>
      <c r="B42" s="313" t="s">
        <v>1197</v>
      </c>
      <c r="D42" s="313" t="e">
        <f>VLOOKUP(A42,#REF!,4,FALSE)</f>
        <v>#REF!</v>
      </c>
      <c r="E42" s="315" t="e">
        <f t="shared" si="0"/>
        <v>#REF!</v>
      </c>
    </row>
    <row r="43" spans="1:5" x14ac:dyDescent="0.2">
      <c r="A43" s="313">
        <v>1345523410</v>
      </c>
      <c r="B43" s="313" t="s">
        <v>298</v>
      </c>
      <c r="C43" s="314">
        <v>72000</v>
      </c>
      <c r="D43" s="313" t="e">
        <f>VLOOKUP(A43,#REF!,4,FALSE)</f>
        <v>#REF!</v>
      </c>
      <c r="E43" s="315" t="e">
        <f t="shared" si="0"/>
        <v>#REF!</v>
      </c>
    </row>
    <row r="44" spans="1:5" x14ac:dyDescent="0.2">
      <c r="A44" s="313">
        <v>1346700420</v>
      </c>
      <c r="B44" s="313" t="s">
        <v>303</v>
      </c>
      <c r="C44" s="314">
        <v>121200</v>
      </c>
      <c r="D44" s="313" t="e">
        <f>VLOOKUP(A44,#REF!,4,FALSE)</f>
        <v>#REF!</v>
      </c>
      <c r="E44" s="315" t="e">
        <f t="shared" si="0"/>
        <v>#REF!</v>
      </c>
    </row>
    <row r="45" spans="1:5" x14ac:dyDescent="0.2">
      <c r="A45" s="313">
        <v>1346900420</v>
      </c>
      <c r="B45" s="313" t="s">
        <v>1597</v>
      </c>
      <c r="D45" s="313" t="e">
        <f>VLOOKUP(A45,#REF!,4,FALSE)</f>
        <v>#REF!</v>
      </c>
      <c r="E45" s="315" t="e">
        <f t="shared" si="0"/>
        <v>#REF!</v>
      </c>
    </row>
    <row r="46" spans="1:5" x14ac:dyDescent="0.2">
      <c r="A46" s="313">
        <v>1346900920</v>
      </c>
      <c r="B46" s="313" t="s">
        <v>1597</v>
      </c>
      <c r="C46" s="314">
        <v>135000</v>
      </c>
      <c r="D46" s="313" t="e">
        <f>VLOOKUP(A46,#REF!,4,FALSE)</f>
        <v>#REF!</v>
      </c>
      <c r="E46" s="315" t="e">
        <f t="shared" si="0"/>
        <v>#REF!</v>
      </c>
    </row>
    <row r="47" spans="1:5" x14ac:dyDescent="0.2">
      <c r="A47" s="313">
        <v>1349000422</v>
      </c>
      <c r="B47" s="313" t="s">
        <v>1200</v>
      </c>
      <c r="C47" s="314">
        <v>5000</v>
      </c>
      <c r="D47" s="313" t="e">
        <f>VLOOKUP(A47,#REF!,4,FALSE)</f>
        <v>#REF!</v>
      </c>
      <c r="E47" s="315" t="e">
        <f t="shared" si="0"/>
        <v>#REF!</v>
      </c>
    </row>
    <row r="48" spans="1:5" x14ac:dyDescent="0.2">
      <c r="A48" s="313">
        <v>1349002420</v>
      </c>
      <c r="B48" s="313" t="s">
        <v>1201</v>
      </c>
      <c r="C48" s="314">
        <v>3000</v>
      </c>
      <c r="D48" s="313" t="e">
        <f>VLOOKUP(A48,#REF!,4,FALSE)</f>
        <v>#REF!</v>
      </c>
      <c r="E48" s="315" t="e">
        <f t="shared" si="0"/>
        <v>#REF!</v>
      </c>
    </row>
    <row r="49" spans="1:5" x14ac:dyDescent="0.2">
      <c r="A49" s="313" t="s">
        <v>277</v>
      </c>
      <c r="B49" s="313" t="s">
        <v>296</v>
      </c>
      <c r="C49" s="314">
        <v>1217933</v>
      </c>
      <c r="D49" s="313" t="e">
        <f>VLOOKUP(A49,#REF!,4,FALSE)</f>
        <v>#REF!</v>
      </c>
      <c r="E49" s="315" t="e">
        <f t="shared" si="0"/>
        <v>#REF!</v>
      </c>
    </row>
    <row r="50" spans="1:5" x14ac:dyDescent="0.2">
      <c r="A50" s="313" t="s">
        <v>305</v>
      </c>
      <c r="B50" s="313" t="s">
        <v>306</v>
      </c>
      <c r="D50" s="313" t="e">
        <f>VLOOKUP(A50,#REF!,4,FALSE)</f>
        <v>#REF!</v>
      </c>
      <c r="E50" s="315" t="e">
        <f t="shared" si="0"/>
        <v>#REF!</v>
      </c>
    </row>
    <row r="51" spans="1:5" x14ac:dyDescent="0.2">
      <c r="A51" s="313">
        <v>1111200216</v>
      </c>
      <c r="B51" s="313" t="s">
        <v>1369</v>
      </c>
      <c r="C51" s="314">
        <v>220800</v>
      </c>
      <c r="D51" s="313" t="e">
        <f>VLOOKUP(A51,#REF!,4,FALSE)</f>
        <v>#REF!</v>
      </c>
      <c r="E51" s="315" t="e">
        <f t="shared" si="0"/>
        <v>#REF!</v>
      </c>
    </row>
    <row r="52" spans="1:5" x14ac:dyDescent="0.2">
      <c r="A52" s="313">
        <v>1111300291</v>
      </c>
      <c r="B52" s="313" t="s">
        <v>275</v>
      </c>
      <c r="C52" s="314">
        <v>550000</v>
      </c>
      <c r="D52" s="313" t="e">
        <f>VLOOKUP(A52,#REF!,4,FALSE)</f>
        <v>#REF!</v>
      </c>
      <c r="E52" s="315" t="e">
        <f t="shared" si="0"/>
        <v>#REF!</v>
      </c>
    </row>
    <row r="53" spans="1:5" x14ac:dyDescent="0.2">
      <c r="A53" s="313">
        <v>1111400100</v>
      </c>
      <c r="B53" s="313" t="s">
        <v>276</v>
      </c>
      <c r="C53" s="314">
        <v>12350000</v>
      </c>
      <c r="D53" s="313" t="e">
        <f>VLOOKUP(A53,#REF!,4,FALSE)</f>
        <v>#REF!</v>
      </c>
      <c r="E53" s="315" t="e">
        <f t="shared" si="0"/>
        <v>#REF!</v>
      </c>
    </row>
    <row r="54" spans="1:5" x14ac:dyDescent="0.2">
      <c r="A54" s="313">
        <v>1121000220</v>
      </c>
      <c r="B54" s="313" t="s">
        <v>1542</v>
      </c>
      <c r="C54" s="314">
        <v>3500</v>
      </c>
      <c r="D54" s="313" t="e">
        <f>VLOOKUP(A54,#REF!,4,FALSE)</f>
        <v>#REF!</v>
      </c>
      <c r="E54" s="315" t="e">
        <f t="shared" si="0"/>
        <v>#REF!</v>
      </c>
    </row>
    <row r="55" spans="1:5" x14ac:dyDescent="0.2">
      <c r="A55" s="313">
        <v>1122000220</v>
      </c>
      <c r="B55" s="313" t="s">
        <v>308</v>
      </c>
      <c r="C55" s="314">
        <v>1600000</v>
      </c>
      <c r="D55" s="313" t="e">
        <f>VLOOKUP(A55,#REF!,4,FALSE)</f>
        <v>#REF!</v>
      </c>
      <c r="E55" s="315" t="e">
        <f t="shared" si="0"/>
        <v>#REF!</v>
      </c>
    </row>
    <row r="56" spans="1:5" x14ac:dyDescent="0.2">
      <c r="A56" s="313">
        <v>1122000221</v>
      </c>
      <c r="B56" s="313" t="s">
        <v>1370</v>
      </c>
      <c r="C56" s="314">
        <v>400000</v>
      </c>
      <c r="D56" s="313" t="e">
        <f>VLOOKUP(A56,#REF!,4,FALSE)</f>
        <v>#REF!</v>
      </c>
      <c r="E56" s="315" t="e">
        <f t="shared" si="0"/>
        <v>#REF!</v>
      </c>
    </row>
    <row r="57" spans="1:5" x14ac:dyDescent="0.2">
      <c r="A57" s="313">
        <v>1124100220</v>
      </c>
      <c r="B57" s="313" t="s">
        <v>309</v>
      </c>
      <c r="D57" s="313" t="e">
        <f>VLOOKUP(A57,#REF!,4,FALSE)</f>
        <v>#REF!</v>
      </c>
      <c r="E57" s="315" t="e">
        <f t="shared" si="0"/>
        <v>#REF!</v>
      </c>
    </row>
    <row r="58" spans="1:5" x14ac:dyDescent="0.2">
      <c r="A58" s="313">
        <v>1129100220</v>
      </c>
      <c r="B58" s="313" t="s">
        <v>310</v>
      </c>
      <c r="C58" s="314">
        <v>141600</v>
      </c>
      <c r="D58" s="313" t="e">
        <f>VLOOKUP(A58,#REF!,4,FALSE)</f>
        <v>#REF!</v>
      </c>
      <c r="E58" s="315" t="e">
        <f t="shared" si="0"/>
        <v>#REF!</v>
      </c>
    </row>
    <row r="59" spans="1:5" x14ac:dyDescent="0.2">
      <c r="A59" s="313">
        <v>1129100221</v>
      </c>
      <c r="B59" s="313" t="s">
        <v>311</v>
      </c>
      <c r="C59" s="314">
        <v>682800</v>
      </c>
      <c r="D59" s="313" t="e">
        <f>VLOOKUP(A59,#REF!,4,FALSE)</f>
        <v>#REF!</v>
      </c>
      <c r="E59" s="315" t="e">
        <f t="shared" si="0"/>
        <v>#REF!</v>
      </c>
    </row>
    <row r="60" spans="1:5" x14ac:dyDescent="0.2">
      <c r="A60" s="313">
        <v>1160000662</v>
      </c>
      <c r="B60" s="313" t="s">
        <v>312</v>
      </c>
      <c r="C60" s="314">
        <v>2725808</v>
      </c>
      <c r="D60" s="313" t="e">
        <f>VLOOKUP(A60,#REF!,4,FALSE)</f>
        <v>#REF!</v>
      </c>
      <c r="E60" s="315" t="e">
        <f t="shared" si="0"/>
        <v>#REF!</v>
      </c>
    </row>
    <row r="61" spans="1:5" x14ac:dyDescent="0.2">
      <c r="A61" s="313">
        <v>1212300690</v>
      </c>
      <c r="B61" s="313" t="s">
        <v>313</v>
      </c>
      <c r="D61" s="313" t="e">
        <f>VLOOKUP(A61,#REF!,4,FALSE)</f>
        <v>#REF!</v>
      </c>
      <c r="E61" s="315" t="e">
        <f t="shared" si="0"/>
        <v>#REF!</v>
      </c>
    </row>
    <row r="62" spans="1:5" x14ac:dyDescent="0.2">
      <c r="A62" s="313">
        <v>1212400220</v>
      </c>
      <c r="B62" s="313" t="s">
        <v>314</v>
      </c>
      <c r="C62" s="314">
        <v>1000000</v>
      </c>
      <c r="D62" s="313" t="e">
        <f>VLOOKUP(A62,#REF!,4,FALSE)</f>
        <v>#REF!</v>
      </c>
      <c r="E62" s="315" t="e">
        <f t="shared" si="0"/>
        <v>#REF!</v>
      </c>
    </row>
    <row r="63" spans="1:5" x14ac:dyDescent="0.2">
      <c r="A63" s="313">
        <v>1212400221</v>
      </c>
      <c r="B63" s="313" t="s">
        <v>315</v>
      </c>
      <c r="C63" s="314">
        <v>325000</v>
      </c>
      <c r="D63" s="313" t="e">
        <f>VLOOKUP(A63,#REF!,4,FALSE)</f>
        <v>#REF!</v>
      </c>
      <c r="E63" s="315" t="e">
        <f t="shared" si="0"/>
        <v>#REF!</v>
      </c>
    </row>
    <row r="64" spans="1:5" x14ac:dyDescent="0.2">
      <c r="A64" s="313">
        <v>1213000220</v>
      </c>
      <c r="B64" s="313" t="s">
        <v>316</v>
      </c>
      <c r="C64" s="314">
        <v>45600</v>
      </c>
      <c r="D64" s="313" t="e">
        <f>VLOOKUP(A64,#REF!,4,FALSE)</f>
        <v>#REF!</v>
      </c>
      <c r="E64" s="315" t="e">
        <f t="shared" si="0"/>
        <v>#REF!</v>
      </c>
    </row>
    <row r="65" spans="1:5" x14ac:dyDescent="0.2">
      <c r="A65" s="313">
        <v>1213000221</v>
      </c>
      <c r="B65" s="313" t="s">
        <v>1376</v>
      </c>
      <c r="D65" s="313" t="e">
        <f>VLOOKUP(A65,#REF!,4,FALSE)</f>
        <v>#REF!</v>
      </c>
      <c r="E65" s="315" t="e">
        <f t="shared" si="0"/>
        <v>#REF!</v>
      </c>
    </row>
    <row r="66" spans="1:5" x14ac:dyDescent="0.2">
      <c r="A66" s="313">
        <v>1214200221</v>
      </c>
      <c r="B66" s="313" t="s">
        <v>317</v>
      </c>
      <c r="C66" s="314">
        <v>146980</v>
      </c>
      <c r="D66" s="313" t="e">
        <f>VLOOKUP(A66,#REF!,4,FALSE)</f>
        <v>#REF!</v>
      </c>
      <c r="E66" s="315" t="e">
        <f t="shared" si="0"/>
        <v>#REF!</v>
      </c>
    </row>
    <row r="67" spans="1:5" x14ac:dyDescent="0.2">
      <c r="A67" s="313">
        <v>1214201220</v>
      </c>
      <c r="B67" s="313" t="s">
        <v>1378</v>
      </c>
      <c r="D67" s="313" t="e">
        <f>VLOOKUP(A67,#REF!,4,FALSE)</f>
        <v>#REF!</v>
      </c>
      <c r="E67" s="315" t="e">
        <f t="shared" si="0"/>
        <v>#REF!</v>
      </c>
    </row>
    <row r="68" spans="1:5" x14ac:dyDescent="0.2">
      <c r="A68" s="313">
        <v>1214300220</v>
      </c>
      <c r="B68" s="313" t="s">
        <v>318</v>
      </c>
      <c r="C68" s="314">
        <v>157091</v>
      </c>
      <c r="D68" s="313" t="e">
        <f>VLOOKUP(A68,#REF!,4,FALSE)</f>
        <v>#REF!</v>
      </c>
      <c r="E68" s="315" t="e">
        <f t="shared" si="0"/>
        <v>#REF!</v>
      </c>
    </row>
    <row r="69" spans="1:5" x14ac:dyDescent="0.2">
      <c r="A69" s="313">
        <v>1214301220</v>
      </c>
      <c r="B69" s="313" t="s">
        <v>319</v>
      </c>
      <c r="C69" s="314">
        <v>18000</v>
      </c>
      <c r="D69" s="313" t="e">
        <f>VLOOKUP(A69,#REF!,4,FALSE)</f>
        <v>#REF!</v>
      </c>
      <c r="E69" s="315" t="e">
        <f t="shared" si="0"/>
        <v>#REF!</v>
      </c>
    </row>
    <row r="70" spans="1:5" x14ac:dyDescent="0.2">
      <c r="A70" s="313">
        <v>1222000440</v>
      </c>
      <c r="B70" s="313" t="s">
        <v>320</v>
      </c>
      <c r="C70" s="314">
        <v>45333</v>
      </c>
      <c r="D70" s="313" t="e">
        <f>VLOOKUP(A70,#REF!,4,FALSE)</f>
        <v>#REF!</v>
      </c>
      <c r="E70" s="315" t="e">
        <f t="shared" ref="E70:E133" si="1">C70-D70</f>
        <v>#REF!</v>
      </c>
    </row>
    <row r="71" spans="1:5" x14ac:dyDescent="0.2">
      <c r="A71" s="313">
        <v>1222000441</v>
      </c>
      <c r="B71" s="313" t="s">
        <v>1586</v>
      </c>
      <c r="C71" s="314">
        <v>1000</v>
      </c>
      <c r="D71" s="313" t="e">
        <f>VLOOKUP(A71,#REF!,4,FALSE)</f>
        <v>#REF!</v>
      </c>
      <c r="E71" s="315" t="e">
        <f t="shared" si="1"/>
        <v>#REF!</v>
      </c>
    </row>
    <row r="72" spans="1:5" x14ac:dyDescent="0.2">
      <c r="A72" s="313">
        <v>1222100400</v>
      </c>
      <c r="B72" s="313" t="s">
        <v>321</v>
      </c>
      <c r="C72" s="314">
        <v>350000</v>
      </c>
      <c r="D72" s="313" t="e">
        <f>VLOOKUP(A72,#REF!,4,FALSE)</f>
        <v>#REF!</v>
      </c>
      <c r="E72" s="315" t="e">
        <f t="shared" si="1"/>
        <v>#REF!</v>
      </c>
    </row>
    <row r="73" spans="1:5" x14ac:dyDescent="0.2">
      <c r="A73" s="313">
        <v>1222100440</v>
      </c>
      <c r="B73" s="313" t="s">
        <v>322</v>
      </c>
      <c r="C73" s="314">
        <v>2050000</v>
      </c>
      <c r="D73" s="313" t="e">
        <f>VLOOKUP(A73,#REF!,4,FALSE)</f>
        <v>#REF!</v>
      </c>
      <c r="E73" s="315" t="e">
        <f t="shared" si="1"/>
        <v>#REF!</v>
      </c>
    </row>
    <row r="74" spans="1:5" x14ac:dyDescent="0.2">
      <c r="A74" s="313">
        <v>1233000690</v>
      </c>
      <c r="B74" s="313" t="s">
        <v>323</v>
      </c>
      <c r="C74" s="314">
        <v>41410</v>
      </c>
      <c r="D74" s="313" t="e">
        <f>VLOOKUP(A74,#REF!,4,FALSE)</f>
        <v>#REF!</v>
      </c>
      <c r="E74" s="315" t="e">
        <f t="shared" si="1"/>
        <v>#REF!</v>
      </c>
    </row>
    <row r="75" spans="1:5" x14ac:dyDescent="0.2">
      <c r="A75" s="313">
        <v>1233100220</v>
      </c>
      <c r="B75" s="313" t="s">
        <v>324</v>
      </c>
      <c r="C75" s="314">
        <v>2394640</v>
      </c>
      <c r="D75" s="313" t="e">
        <f>VLOOKUP(A75,#REF!,4,FALSE)</f>
        <v>#REF!</v>
      </c>
      <c r="E75" s="315" t="e">
        <f t="shared" si="1"/>
        <v>#REF!</v>
      </c>
    </row>
    <row r="76" spans="1:5" x14ac:dyDescent="0.2">
      <c r="A76" s="313">
        <v>1233200290</v>
      </c>
      <c r="B76" s="313" t="s">
        <v>325</v>
      </c>
      <c r="C76" s="314">
        <v>1908984</v>
      </c>
      <c r="D76" s="313" t="e">
        <f>VLOOKUP(A76,#REF!,4,FALSE)</f>
        <v>#REF!</v>
      </c>
      <c r="E76" s="315" t="e">
        <f t="shared" si="1"/>
        <v>#REF!</v>
      </c>
    </row>
    <row r="77" spans="1:5" x14ac:dyDescent="0.2">
      <c r="A77" s="313">
        <v>1233200291</v>
      </c>
      <c r="B77" s="313" t="s">
        <v>1587</v>
      </c>
      <c r="C77" s="314">
        <v>504000</v>
      </c>
      <c r="D77" s="313" t="e">
        <f>VLOOKUP(A77,#REF!,4,FALSE)</f>
        <v>#REF!</v>
      </c>
      <c r="E77" s="315" t="e">
        <f t="shared" si="1"/>
        <v>#REF!</v>
      </c>
    </row>
    <row r="78" spans="1:5" x14ac:dyDescent="0.2">
      <c r="A78" s="313">
        <v>1233200292</v>
      </c>
      <c r="B78" s="313" t="s">
        <v>1660</v>
      </c>
      <c r="C78" s="314">
        <v>375638</v>
      </c>
      <c r="D78" s="313" t="e">
        <f>VLOOKUP(A78,#REF!,4,FALSE)</f>
        <v>#REF!</v>
      </c>
      <c r="E78" s="315" t="e">
        <f t="shared" si="1"/>
        <v>#REF!</v>
      </c>
    </row>
    <row r="79" spans="1:5" x14ac:dyDescent="0.2">
      <c r="A79" s="313">
        <v>1233200293</v>
      </c>
      <c r="B79" s="313" t="s">
        <v>1738</v>
      </c>
      <c r="C79" s="314">
        <v>1449150</v>
      </c>
      <c r="D79" s="313" t="e">
        <f>VLOOKUP(A79,#REF!,4,FALSE)</f>
        <v>#REF!</v>
      </c>
      <c r="E79" s="315" t="e">
        <f t="shared" si="1"/>
        <v>#REF!</v>
      </c>
    </row>
    <row r="80" spans="1:5" x14ac:dyDescent="0.2">
      <c r="A80" s="313">
        <v>1233300290</v>
      </c>
      <c r="B80" s="313" t="s">
        <v>326</v>
      </c>
      <c r="D80" s="313" t="e">
        <f>VLOOKUP(A80,#REF!,4,FALSE)</f>
        <v>#REF!</v>
      </c>
      <c r="E80" s="315" t="e">
        <f t="shared" si="1"/>
        <v>#REF!</v>
      </c>
    </row>
    <row r="81" spans="1:5" x14ac:dyDescent="0.2">
      <c r="A81" s="313">
        <v>1242000220</v>
      </c>
      <c r="B81" s="313" t="s">
        <v>328</v>
      </c>
      <c r="C81" s="314">
        <v>211600</v>
      </c>
      <c r="D81" s="313" t="e">
        <f>VLOOKUP(A81,#REF!,4,FALSE)</f>
        <v>#REF!</v>
      </c>
      <c r="E81" s="315" t="e">
        <f t="shared" si="1"/>
        <v>#REF!</v>
      </c>
    </row>
    <row r="82" spans="1:5" x14ac:dyDescent="0.2">
      <c r="A82" s="313">
        <v>1242000221</v>
      </c>
      <c r="B82" s="313" t="s">
        <v>1383</v>
      </c>
      <c r="D82" s="313" t="e">
        <f>VLOOKUP(A82,#REF!,4,FALSE)</f>
        <v>#REF!</v>
      </c>
      <c r="E82" s="315" t="e">
        <f t="shared" si="1"/>
        <v>#REF!</v>
      </c>
    </row>
    <row r="83" spans="1:5" x14ac:dyDescent="0.2">
      <c r="A83" s="313">
        <v>1242000690</v>
      </c>
      <c r="B83" s="313" t="s">
        <v>329</v>
      </c>
      <c r="D83" s="313" t="e">
        <f>VLOOKUP(A83,#REF!,4,FALSE)</f>
        <v>#REF!</v>
      </c>
      <c r="E83" s="315" t="e">
        <f t="shared" si="1"/>
        <v>#REF!</v>
      </c>
    </row>
    <row r="84" spans="1:5" x14ac:dyDescent="0.2">
      <c r="A84" s="313">
        <v>1261000421</v>
      </c>
      <c r="B84" s="313" t="s">
        <v>330</v>
      </c>
      <c r="C84" s="314">
        <v>200000</v>
      </c>
      <c r="D84" s="313" t="e">
        <f>VLOOKUP(A84,#REF!,4,FALSE)</f>
        <v>#REF!</v>
      </c>
      <c r="E84" s="315" t="e">
        <f t="shared" si="1"/>
        <v>#REF!</v>
      </c>
    </row>
    <row r="85" spans="1:5" x14ac:dyDescent="0.2">
      <c r="A85" s="313">
        <v>1269000662</v>
      </c>
      <c r="B85" s="313" t="s">
        <v>331</v>
      </c>
      <c r="D85" s="313" t="e">
        <f>VLOOKUP(A85,#REF!,4,FALSE)</f>
        <v>#REF!</v>
      </c>
      <c r="E85" s="315" t="e">
        <f t="shared" si="1"/>
        <v>#REF!</v>
      </c>
    </row>
    <row r="86" spans="1:5" x14ac:dyDescent="0.2">
      <c r="A86" s="313">
        <v>1269000690</v>
      </c>
      <c r="B86" s="313" t="s">
        <v>1588</v>
      </c>
      <c r="C86" s="314">
        <v>67680</v>
      </c>
      <c r="D86" s="313" t="e">
        <f>VLOOKUP(A86,#REF!,4,FALSE)</f>
        <v>#REF!</v>
      </c>
      <c r="E86" s="315" t="e">
        <f t="shared" si="1"/>
        <v>#REF!</v>
      </c>
    </row>
    <row r="87" spans="1:5" x14ac:dyDescent="0.2">
      <c r="A87" s="313">
        <v>1269000790</v>
      </c>
      <c r="B87" s="313" t="s">
        <v>331</v>
      </c>
      <c r="C87" s="314">
        <v>195272</v>
      </c>
      <c r="D87" s="313" t="e">
        <f>VLOOKUP(A87,#REF!,4,FALSE)</f>
        <v>#REF!</v>
      </c>
      <c r="E87" s="315" t="e">
        <f t="shared" si="1"/>
        <v>#REF!</v>
      </c>
    </row>
    <row r="88" spans="1:5" x14ac:dyDescent="0.2">
      <c r="A88" s="313">
        <v>1269000791</v>
      </c>
      <c r="B88" s="313" t="s">
        <v>1699</v>
      </c>
      <c r="C88" s="314">
        <v>250000</v>
      </c>
      <c r="D88" s="313" t="e">
        <f>VLOOKUP(A88,#REF!,4,FALSE)</f>
        <v>#REF!</v>
      </c>
      <c r="E88" s="315" t="e">
        <f t="shared" si="1"/>
        <v>#REF!</v>
      </c>
    </row>
    <row r="89" spans="1:5" x14ac:dyDescent="0.2">
      <c r="A89" s="313">
        <v>1281000215</v>
      </c>
      <c r="B89" s="313" t="s">
        <v>332</v>
      </c>
      <c r="C89" s="314">
        <v>75000</v>
      </c>
      <c r="D89" s="313" t="e">
        <f>VLOOKUP(A89,#REF!,4,FALSE)</f>
        <v>#REF!</v>
      </c>
      <c r="E89" s="315" t="e">
        <f t="shared" si="1"/>
        <v>#REF!</v>
      </c>
    </row>
    <row r="90" spans="1:5" x14ac:dyDescent="0.2">
      <c r="A90" s="313">
        <v>1281000221</v>
      </c>
      <c r="B90" s="313" t="s">
        <v>1447</v>
      </c>
      <c r="D90" s="313" t="e">
        <f>VLOOKUP(A90,#REF!,4,FALSE)</f>
        <v>#REF!</v>
      </c>
      <c r="E90" s="315" t="e">
        <f t="shared" si="1"/>
        <v>#REF!</v>
      </c>
    </row>
    <row r="91" spans="1:5" x14ac:dyDescent="0.2">
      <c r="A91" s="313">
        <v>1281000222</v>
      </c>
      <c r="B91" s="313" t="s">
        <v>1540</v>
      </c>
      <c r="D91" s="313" t="e">
        <f>VLOOKUP(A91,#REF!,4,FALSE)</f>
        <v>#REF!</v>
      </c>
      <c r="E91" s="315" t="e">
        <f t="shared" si="1"/>
        <v>#REF!</v>
      </c>
    </row>
    <row r="92" spans="1:5" x14ac:dyDescent="0.2">
      <c r="A92" s="313">
        <v>1282000490</v>
      </c>
      <c r="B92" s="313" t="s">
        <v>333</v>
      </c>
      <c r="C92" s="314">
        <v>250000</v>
      </c>
      <c r="D92" s="313" t="e">
        <f>VLOOKUP(A92,#REF!,4,FALSE)</f>
        <v>#REF!</v>
      </c>
      <c r="E92" s="315" t="e">
        <f t="shared" si="1"/>
        <v>#REF!</v>
      </c>
    </row>
    <row r="93" spans="1:5" x14ac:dyDescent="0.2">
      <c r="A93" s="313">
        <v>1322000410</v>
      </c>
      <c r="B93" s="313" t="s">
        <v>334</v>
      </c>
      <c r="C93" s="314">
        <v>330000</v>
      </c>
      <c r="D93" s="313" t="e">
        <f>VLOOKUP(A93,#REF!,4,FALSE)</f>
        <v>#REF!</v>
      </c>
      <c r="E93" s="315" t="e">
        <f t="shared" si="1"/>
        <v>#REF!</v>
      </c>
    </row>
    <row r="94" spans="1:5" x14ac:dyDescent="0.2">
      <c r="A94" s="313">
        <v>1322000411</v>
      </c>
      <c r="B94" s="313" t="s">
        <v>335</v>
      </c>
      <c r="C94" s="314">
        <v>120000</v>
      </c>
      <c r="D94" s="313" t="e">
        <f>VLOOKUP(A94,#REF!,4,FALSE)</f>
        <v>#REF!</v>
      </c>
      <c r="E94" s="315" t="e">
        <f t="shared" si="1"/>
        <v>#REF!</v>
      </c>
    </row>
    <row r="95" spans="1:5" x14ac:dyDescent="0.2">
      <c r="A95" s="313">
        <v>1322000740</v>
      </c>
      <c r="B95" s="313" t="s">
        <v>336</v>
      </c>
      <c r="C95" s="314">
        <v>100000</v>
      </c>
      <c r="D95" s="313" t="e">
        <f>VLOOKUP(A95,#REF!,4,FALSE)</f>
        <v>#REF!</v>
      </c>
      <c r="E95" s="315" t="e">
        <f t="shared" si="1"/>
        <v>#REF!</v>
      </c>
    </row>
    <row r="96" spans="1:5" x14ac:dyDescent="0.2">
      <c r="A96" s="313">
        <v>1322000790</v>
      </c>
      <c r="B96" s="313" t="s">
        <v>337</v>
      </c>
      <c r="C96" s="314">
        <v>205000</v>
      </c>
      <c r="D96" s="313" t="e">
        <f>VLOOKUP(A96,#REF!,4,FALSE)</f>
        <v>#REF!</v>
      </c>
      <c r="E96" s="315" t="e">
        <f t="shared" si="1"/>
        <v>#REF!</v>
      </c>
    </row>
    <row r="97" spans="1:5" x14ac:dyDescent="0.2">
      <c r="A97" s="313">
        <v>1323000420</v>
      </c>
      <c r="B97" s="313" t="s">
        <v>338</v>
      </c>
      <c r="C97" s="314">
        <v>20000</v>
      </c>
      <c r="D97" s="313" t="e">
        <f>VLOOKUP(A97,#REF!,4,FALSE)</f>
        <v>#REF!</v>
      </c>
      <c r="E97" s="315" t="e">
        <f t="shared" si="1"/>
        <v>#REF!</v>
      </c>
    </row>
    <row r="98" spans="1:5" x14ac:dyDescent="0.2">
      <c r="A98" s="313">
        <v>1325200220</v>
      </c>
      <c r="B98" s="313" t="s">
        <v>339</v>
      </c>
      <c r="C98" s="314">
        <v>1270000</v>
      </c>
      <c r="D98" s="313" t="e">
        <f>VLOOKUP(A98,#REF!,4,FALSE)</f>
        <v>#REF!</v>
      </c>
      <c r="E98" s="315" t="e">
        <f t="shared" si="1"/>
        <v>#REF!</v>
      </c>
    </row>
    <row r="99" spans="1:5" x14ac:dyDescent="0.2">
      <c r="A99" s="313">
        <v>1325200221</v>
      </c>
      <c r="B99" s="313" t="s">
        <v>1590</v>
      </c>
      <c r="C99" s="314">
        <v>8500</v>
      </c>
      <c r="D99" s="313" t="e">
        <f>VLOOKUP(A99,#REF!,4,FALSE)</f>
        <v>#REF!</v>
      </c>
      <c r="E99" s="315" t="e">
        <f t="shared" si="1"/>
        <v>#REF!</v>
      </c>
    </row>
    <row r="100" spans="1:5" x14ac:dyDescent="0.2">
      <c r="A100" s="313">
        <v>1325200410</v>
      </c>
      <c r="B100" s="313" t="s">
        <v>340</v>
      </c>
      <c r="C100" s="314">
        <v>10000</v>
      </c>
      <c r="D100" s="313" t="e">
        <f>VLOOKUP(A100,#REF!,4,FALSE)</f>
        <v>#REF!</v>
      </c>
      <c r="E100" s="315" t="e">
        <f t="shared" si="1"/>
        <v>#REF!</v>
      </c>
    </row>
    <row r="101" spans="1:5" x14ac:dyDescent="0.2">
      <c r="A101" s="313">
        <v>1325200411</v>
      </c>
      <c r="B101" s="313" t="s">
        <v>1641</v>
      </c>
      <c r="C101" s="314">
        <v>40000</v>
      </c>
      <c r="D101" s="313" t="e">
        <f>VLOOKUP(A101,#REF!,4,FALSE)</f>
        <v>#REF!</v>
      </c>
      <c r="E101" s="315" t="e">
        <f t="shared" si="1"/>
        <v>#REF!</v>
      </c>
    </row>
    <row r="102" spans="1:5" x14ac:dyDescent="0.2">
      <c r="A102" s="313">
        <v>1325200700</v>
      </c>
      <c r="B102" s="313" t="s">
        <v>341</v>
      </c>
      <c r="C102" s="314">
        <v>80000</v>
      </c>
      <c r="D102" s="313" t="e">
        <f>VLOOKUP(A102,#REF!,4,FALSE)</f>
        <v>#REF!</v>
      </c>
      <c r="E102" s="315" t="e">
        <f t="shared" si="1"/>
        <v>#REF!</v>
      </c>
    </row>
    <row r="103" spans="1:5" x14ac:dyDescent="0.2">
      <c r="A103" s="313">
        <v>1329300921</v>
      </c>
      <c r="B103" s="313" t="s">
        <v>1537</v>
      </c>
      <c r="C103" s="314">
        <v>68007</v>
      </c>
      <c r="D103" s="313" t="e">
        <f>VLOOKUP(A103,#REF!,4,FALSE)</f>
        <v>#REF!</v>
      </c>
      <c r="E103" s="315" t="e">
        <f t="shared" si="1"/>
        <v>#REF!</v>
      </c>
    </row>
    <row r="104" spans="1:5" x14ac:dyDescent="0.2">
      <c r="A104" s="313">
        <v>1360000410</v>
      </c>
      <c r="B104" s="313" t="s">
        <v>342</v>
      </c>
      <c r="C104" s="314">
        <v>42140</v>
      </c>
      <c r="D104" s="313" t="e">
        <f>VLOOKUP(A104,#REF!,4,FALSE)</f>
        <v>#REF!</v>
      </c>
      <c r="E104" s="315" t="e">
        <f t="shared" si="1"/>
        <v>#REF!</v>
      </c>
    </row>
    <row r="105" spans="1:5" x14ac:dyDescent="0.2">
      <c r="A105" s="313">
        <v>1413100221</v>
      </c>
      <c r="B105" s="313" t="s">
        <v>343</v>
      </c>
      <c r="C105" s="314">
        <v>2500</v>
      </c>
      <c r="D105" s="313" t="e">
        <f>VLOOKUP(A105,#REF!,4,FALSE)</f>
        <v>#REF!</v>
      </c>
      <c r="E105" s="315" t="e">
        <f t="shared" si="1"/>
        <v>#REF!</v>
      </c>
    </row>
    <row r="106" spans="1:5" x14ac:dyDescent="0.2">
      <c r="A106" s="313">
        <v>1413200220</v>
      </c>
      <c r="B106" s="313" t="s">
        <v>1</v>
      </c>
      <c r="C106" s="314">
        <v>4000</v>
      </c>
      <c r="D106" s="313" t="e">
        <f>VLOOKUP(A106,#REF!,4,FALSE)</f>
        <v>#REF!</v>
      </c>
      <c r="E106" s="315" t="e">
        <f t="shared" si="1"/>
        <v>#REF!</v>
      </c>
    </row>
    <row r="107" spans="1:5" x14ac:dyDescent="0.2">
      <c r="A107" s="313">
        <v>1433000215</v>
      </c>
      <c r="B107" s="313" t="s">
        <v>344</v>
      </c>
      <c r="C107" s="314">
        <v>20000</v>
      </c>
      <c r="D107" s="313" t="e">
        <f>VLOOKUP(A107,#REF!,4,FALSE)</f>
        <v>#REF!</v>
      </c>
      <c r="E107" s="315" t="e">
        <f t="shared" si="1"/>
        <v>#REF!</v>
      </c>
    </row>
    <row r="108" spans="1:5" x14ac:dyDescent="0.2">
      <c r="A108" s="313">
        <v>1433000641</v>
      </c>
      <c r="B108" s="313" t="s">
        <v>345</v>
      </c>
      <c r="C108" s="314">
        <v>450000</v>
      </c>
      <c r="D108" s="313" t="e">
        <f>VLOOKUP(A108,#REF!,4,FALSE)</f>
        <v>#REF!</v>
      </c>
      <c r="E108" s="315" t="e">
        <f t="shared" si="1"/>
        <v>#REF!</v>
      </c>
    </row>
    <row r="109" spans="1:5" x14ac:dyDescent="0.2">
      <c r="A109" s="313">
        <v>1433000642</v>
      </c>
      <c r="B109" s="313" t="s">
        <v>346</v>
      </c>
      <c r="C109" s="314">
        <v>1200000</v>
      </c>
      <c r="D109" s="313" t="e">
        <f>VLOOKUP(A109,#REF!,4,FALSE)</f>
        <v>#REF!</v>
      </c>
      <c r="E109" s="315" t="e">
        <f t="shared" si="1"/>
        <v>#REF!</v>
      </c>
    </row>
    <row r="110" spans="1:5" x14ac:dyDescent="0.2">
      <c r="A110" s="313">
        <v>1433000644</v>
      </c>
      <c r="B110" s="313" t="s">
        <v>347</v>
      </c>
      <c r="C110" s="314">
        <v>280000</v>
      </c>
      <c r="D110" s="313" t="e">
        <f>VLOOKUP(A110,#REF!,4,FALSE)</f>
        <v>#REF!</v>
      </c>
      <c r="E110" s="315" t="e">
        <f t="shared" si="1"/>
        <v>#REF!</v>
      </c>
    </row>
    <row r="111" spans="1:5" x14ac:dyDescent="0.2">
      <c r="A111" s="313">
        <v>1437000215</v>
      </c>
      <c r="B111" s="313" t="s">
        <v>348</v>
      </c>
      <c r="C111" s="314">
        <v>50000</v>
      </c>
      <c r="D111" s="313" t="e">
        <f>VLOOKUP(A111,#REF!,4,FALSE)</f>
        <v>#REF!</v>
      </c>
      <c r="E111" s="315" t="e">
        <f t="shared" si="1"/>
        <v>#REF!</v>
      </c>
    </row>
    <row r="112" spans="1:5" x14ac:dyDescent="0.2">
      <c r="A112" s="313">
        <v>1437000640</v>
      </c>
      <c r="B112" s="313" t="s">
        <v>245</v>
      </c>
      <c r="C112" s="314">
        <v>300000</v>
      </c>
      <c r="D112" s="313" t="e">
        <f>VLOOKUP(A112,#REF!,4,FALSE)</f>
        <v>#REF!</v>
      </c>
      <c r="E112" s="315" t="e">
        <f t="shared" si="1"/>
        <v>#REF!</v>
      </c>
    </row>
    <row r="113" spans="1:5" x14ac:dyDescent="0.2">
      <c r="A113" s="313">
        <v>1439000690</v>
      </c>
      <c r="B113" s="313" t="s">
        <v>6</v>
      </c>
      <c r="D113" s="313" t="e">
        <f>VLOOKUP(A113,#REF!,4,FALSE)</f>
        <v>#REF!</v>
      </c>
      <c r="E113" s="315" t="e">
        <f t="shared" si="1"/>
        <v>#REF!</v>
      </c>
    </row>
    <row r="114" spans="1:5" x14ac:dyDescent="0.2">
      <c r="A114" s="313">
        <v>1443100220</v>
      </c>
      <c r="B114" s="313" t="s">
        <v>350</v>
      </c>
      <c r="C114" s="314">
        <v>28438</v>
      </c>
      <c r="D114" s="313" t="e">
        <f>VLOOKUP(A114,#REF!,4,FALSE)</f>
        <v>#REF!</v>
      </c>
      <c r="E114" s="315" t="e">
        <f t="shared" si="1"/>
        <v>#REF!</v>
      </c>
    </row>
    <row r="115" spans="1:5" x14ac:dyDescent="0.2">
      <c r="A115" s="313">
        <v>1443100290</v>
      </c>
      <c r="B115" s="313" t="s">
        <v>2057</v>
      </c>
      <c r="C115" s="314">
        <v>3700000</v>
      </c>
      <c r="D115" s="313" t="e">
        <f>VLOOKUP(A115,#REF!,4,FALSE)</f>
        <v>#REF!</v>
      </c>
      <c r="E115" s="315" t="e">
        <f t="shared" si="1"/>
        <v>#REF!</v>
      </c>
    </row>
    <row r="116" spans="1:5" x14ac:dyDescent="0.2">
      <c r="A116" s="313">
        <v>1443100291</v>
      </c>
      <c r="B116" s="313" t="s">
        <v>1599</v>
      </c>
      <c r="C116" s="314">
        <v>200000</v>
      </c>
      <c r="D116" s="313" t="e">
        <f>VLOOKUP(A116,#REF!,4,FALSE)</f>
        <v>#REF!</v>
      </c>
      <c r="E116" s="315" t="e">
        <f t="shared" si="1"/>
        <v>#REF!</v>
      </c>
    </row>
    <row r="117" spans="1:5" x14ac:dyDescent="0.2">
      <c r="A117" s="313">
        <v>1443100292</v>
      </c>
      <c r="B117" s="313" t="s">
        <v>353</v>
      </c>
      <c r="C117" s="314">
        <v>756000</v>
      </c>
      <c r="D117" s="313" t="e">
        <f>VLOOKUP(A117,#REF!,4,FALSE)</f>
        <v>#REF!</v>
      </c>
      <c r="E117" s="315" t="e">
        <f t="shared" si="1"/>
        <v>#REF!</v>
      </c>
    </row>
    <row r="118" spans="1:5" x14ac:dyDescent="0.2">
      <c r="A118" s="313">
        <v>1443100293</v>
      </c>
      <c r="B118" s="313" t="s">
        <v>354</v>
      </c>
      <c r="C118" s="314">
        <v>1350000</v>
      </c>
      <c r="D118" s="313" t="e">
        <f>VLOOKUP(A118,#REF!,4,FALSE)</f>
        <v>#REF!</v>
      </c>
      <c r="E118" s="315" t="e">
        <f t="shared" si="1"/>
        <v>#REF!</v>
      </c>
    </row>
    <row r="119" spans="1:5" x14ac:dyDescent="0.2">
      <c r="A119" s="313">
        <v>1443100295</v>
      </c>
      <c r="B119" s="313" t="s">
        <v>1162</v>
      </c>
      <c r="D119" s="313" t="e">
        <f>VLOOKUP(A119,#REF!,4,FALSE)</f>
        <v>#REF!</v>
      </c>
      <c r="E119" s="315" t="e">
        <f t="shared" si="1"/>
        <v>#REF!</v>
      </c>
    </row>
    <row r="120" spans="1:5" x14ac:dyDescent="0.2">
      <c r="A120" s="313">
        <v>1443100296</v>
      </c>
      <c r="B120" s="313" t="s">
        <v>1535</v>
      </c>
      <c r="C120" s="314">
        <v>878667</v>
      </c>
      <c r="D120" s="313" t="e">
        <f>VLOOKUP(A120,#REF!,4,FALSE)</f>
        <v>#REF!</v>
      </c>
      <c r="E120" s="315" t="e">
        <f t="shared" si="1"/>
        <v>#REF!</v>
      </c>
    </row>
    <row r="121" spans="1:5" x14ac:dyDescent="0.2">
      <c r="A121" s="313">
        <v>1443100297</v>
      </c>
      <c r="B121" s="313" t="s">
        <v>1534</v>
      </c>
      <c r="C121" s="314">
        <v>60000</v>
      </c>
      <c r="D121" s="313" t="e">
        <f>VLOOKUP(A121,#REF!,4,FALSE)</f>
        <v>#REF!</v>
      </c>
      <c r="E121" s="315" t="e">
        <f t="shared" si="1"/>
        <v>#REF!</v>
      </c>
    </row>
    <row r="122" spans="1:5" x14ac:dyDescent="0.2">
      <c r="A122" s="313">
        <v>1444000490</v>
      </c>
      <c r="B122" s="313" t="s">
        <v>356</v>
      </c>
      <c r="C122" s="314">
        <v>21004</v>
      </c>
      <c r="D122" s="313" t="e">
        <f>VLOOKUP(A122,#REF!,4,FALSE)</f>
        <v>#REF!</v>
      </c>
      <c r="E122" s="315" t="e">
        <f t="shared" si="1"/>
        <v>#REF!</v>
      </c>
    </row>
    <row r="123" spans="1:5" x14ac:dyDescent="0.2">
      <c r="A123" s="313">
        <v>1472000212</v>
      </c>
      <c r="B123" s="313" t="s">
        <v>357</v>
      </c>
      <c r="C123" s="314">
        <v>160000</v>
      </c>
      <c r="D123" s="313" t="e">
        <f>VLOOKUP(A123,#REF!,4,FALSE)</f>
        <v>#REF!</v>
      </c>
      <c r="E123" s="315" t="e">
        <f t="shared" si="1"/>
        <v>#REF!</v>
      </c>
    </row>
    <row r="124" spans="1:5" x14ac:dyDescent="0.2">
      <c r="A124" s="313">
        <v>1472000213</v>
      </c>
      <c r="B124" s="313" t="s">
        <v>358</v>
      </c>
      <c r="D124" s="313" t="e">
        <f>VLOOKUP(A124,#REF!,4,FALSE)</f>
        <v>#REF!</v>
      </c>
      <c r="E124" s="315" t="e">
        <f t="shared" si="1"/>
        <v>#REF!</v>
      </c>
    </row>
    <row r="125" spans="1:5" x14ac:dyDescent="0.2">
      <c r="A125" s="313">
        <v>1472000215</v>
      </c>
      <c r="B125" s="313" t="s">
        <v>359</v>
      </c>
      <c r="C125" s="314">
        <v>60109</v>
      </c>
      <c r="D125" s="313" t="e">
        <f>VLOOKUP(A125,#REF!,4,FALSE)</f>
        <v>#REF!</v>
      </c>
      <c r="E125" s="315" t="e">
        <f t="shared" si="1"/>
        <v>#REF!</v>
      </c>
    </row>
    <row r="126" spans="1:5" x14ac:dyDescent="0.2">
      <c r="A126" s="313" t="s">
        <v>277</v>
      </c>
      <c r="B126" s="313" t="s">
        <v>306</v>
      </c>
      <c r="C126" s="314">
        <v>42551251</v>
      </c>
      <c r="D126" s="313" t="e">
        <f>VLOOKUP(A126,#REF!,4,FALSE)</f>
        <v>#REF!</v>
      </c>
      <c r="E126" s="315" t="e">
        <f t="shared" si="1"/>
        <v>#REF!</v>
      </c>
    </row>
    <row r="127" spans="1:5" x14ac:dyDescent="0.2">
      <c r="A127" s="313" t="s">
        <v>277</v>
      </c>
      <c r="B127" s="313" t="s">
        <v>1446</v>
      </c>
      <c r="C127" s="314">
        <v>85735824</v>
      </c>
      <c r="D127" s="313" t="e">
        <f>VLOOKUP(A127,#REF!,4,FALSE)</f>
        <v>#REF!</v>
      </c>
      <c r="E127" s="315" t="e">
        <f t="shared" si="1"/>
        <v>#REF!</v>
      </c>
    </row>
    <row r="128" spans="1:5" x14ac:dyDescent="0.2">
      <c r="A128" s="313" t="s">
        <v>281</v>
      </c>
      <c r="B128" s="313" t="s">
        <v>1448</v>
      </c>
      <c r="D128" s="313" t="e">
        <f>VLOOKUP(A128,#REF!,4,FALSE)</f>
        <v>#REF!</v>
      </c>
      <c r="E128" s="315" t="e">
        <f t="shared" si="1"/>
        <v>#REF!</v>
      </c>
    </row>
    <row r="129" spans="1:5" x14ac:dyDescent="0.2">
      <c r="A129" s="313" t="s">
        <v>360</v>
      </c>
      <c r="B129" s="313" t="s">
        <v>361</v>
      </c>
      <c r="D129" s="313" t="e">
        <f>VLOOKUP(A129,#REF!,4,FALSE)</f>
        <v>#REF!</v>
      </c>
      <c r="E129" s="315" t="e">
        <f t="shared" si="1"/>
        <v>#REF!</v>
      </c>
    </row>
    <row r="130" spans="1:5" x14ac:dyDescent="0.2">
      <c r="A130" s="313">
        <v>1312200920</v>
      </c>
      <c r="B130" s="313" t="s">
        <v>1388</v>
      </c>
      <c r="D130" s="313" t="e">
        <f>VLOOKUP(A130,#REF!,4,FALSE)</f>
        <v>#REF!</v>
      </c>
      <c r="E130" s="315" t="e">
        <f t="shared" si="1"/>
        <v>#REF!</v>
      </c>
    </row>
    <row r="131" spans="1:5" x14ac:dyDescent="0.2">
      <c r="A131" s="313">
        <v>1312210920</v>
      </c>
      <c r="B131" s="313" t="s">
        <v>362</v>
      </c>
      <c r="C131" s="314">
        <v>18142071</v>
      </c>
      <c r="D131" s="313" t="e">
        <f>VLOOKUP(A131,#REF!,4,FALSE)</f>
        <v>#REF!</v>
      </c>
      <c r="E131" s="315" t="e">
        <f t="shared" si="1"/>
        <v>#REF!</v>
      </c>
    </row>
    <row r="132" spans="1:5" x14ac:dyDescent="0.2">
      <c r="A132" s="313">
        <v>1312220920</v>
      </c>
      <c r="B132" s="313" t="s">
        <v>363</v>
      </c>
      <c r="C132" s="314">
        <v>4820402</v>
      </c>
      <c r="D132" s="313" t="e">
        <f>VLOOKUP(A132,#REF!,4,FALSE)</f>
        <v>#REF!</v>
      </c>
      <c r="E132" s="315" t="e">
        <f t="shared" si="1"/>
        <v>#REF!</v>
      </c>
    </row>
    <row r="133" spans="1:5" x14ac:dyDescent="0.2">
      <c r="A133" s="313">
        <v>1312230920</v>
      </c>
      <c r="B133" s="313" t="s">
        <v>364</v>
      </c>
      <c r="C133" s="314">
        <v>20000</v>
      </c>
      <c r="D133" s="313" t="e">
        <f>VLOOKUP(A133,#REF!,4,FALSE)</f>
        <v>#REF!</v>
      </c>
      <c r="E133" s="315" t="e">
        <f t="shared" si="1"/>
        <v>#REF!</v>
      </c>
    </row>
    <row r="134" spans="1:5" x14ac:dyDescent="0.2">
      <c r="A134" s="313">
        <v>1312501920</v>
      </c>
      <c r="B134" s="313" t="s">
        <v>365</v>
      </c>
      <c r="C134" s="314">
        <v>1031401</v>
      </c>
      <c r="D134" s="313" t="e">
        <f>VLOOKUP(A134,#REF!,4,FALSE)</f>
        <v>#REF!</v>
      </c>
      <c r="E134" s="315" t="e">
        <f t="shared" ref="E134:E197" si="2">C134-D134</f>
        <v>#REF!</v>
      </c>
    </row>
    <row r="135" spans="1:5" x14ac:dyDescent="0.2">
      <c r="A135" s="313">
        <v>1313200920</v>
      </c>
      <c r="B135" s="313" t="s">
        <v>56</v>
      </c>
      <c r="C135" s="314">
        <v>1275000</v>
      </c>
      <c r="D135" s="313" t="e">
        <f>VLOOKUP(A135,#REF!,4,FALSE)</f>
        <v>#REF!</v>
      </c>
      <c r="E135" s="315" t="e">
        <f t="shared" si="2"/>
        <v>#REF!</v>
      </c>
    </row>
    <row r="136" spans="1:5" x14ac:dyDescent="0.2">
      <c r="A136" s="313">
        <v>1313200923</v>
      </c>
      <c r="B136" s="313" t="s">
        <v>2048</v>
      </c>
      <c r="D136" s="313" t="e">
        <f>VLOOKUP(A136,#REF!,4,FALSE)</f>
        <v>#REF!</v>
      </c>
      <c r="E136" s="315" t="e">
        <f t="shared" si="2"/>
        <v>#REF!</v>
      </c>
    </row>
    <row r="137" spans="1:5" x14ac:dyDescent="0.2">
      <c r="A137" s="313">
        <v>1313201920</v>
      </c>
      <c r="B137" s="313" t="s">
        <v>1704</v>
      </c>
      <c r="C137" s="314">
        <v>492518</v>
      </c>
      <c r="D137" s="313" t="e">
        <f>VLOOKUP(A137,#REF!,4,FALSE)</f>
        <v>#REF!</v>
      </c>
      <c r="E137" s="315" t="e">
        <f t="shared" si="2"/>
        <v>#REF!</v>
      </c>
    </row>
    <row r="138" spans="1:5" x14ac:dyDescent="0.2">
      <c r="A138" s="313">
        <v>1313201921</v>
      </c>
      <c r="B138" s="313" t="s">
        <v>1493</v>
      </c>
      <c r="C138" s="314">
        <v>520202</v>
      </c>
      <c r="D138" s="313" t="e">
        <f>VLOOKUP(A138,#REF!,4,FALSE)</f>
        <v>#REF!</v>
      </c>
      <c r="E138" s="315" t="e">
        <f t="shared" si="2"/>
        <v>#REF!</v>
      </c>
    </row>
    <row r="139" spans="1:5" x14ac:dyDescent="0.2">
      <c r="A139" s="313">
        <v>1313201922</v>
      </c>
      <c r="B139" s="313" t="s">
        <v>1492</v>
      </c>
      <c r="C139" s="314">
        <v>540750</v>
      </c>
      <c r="D139" s="313" t="e">
        <f>VLOOKUP(A139,#REF!,4,FALSE)</f>
        <v>#REF!</v>
      </c>
      <c r="E139" s="315" t="e">
        <f t="shared" si="2"/>
        <v>#REF!</v>
      </c>
    </row>
    <row r="140" spans="1:5" x14ac:dyDescent="0.2">
      <c r="A140" s="313">
        <v>1313201923</v>
      </c>
      <c r="B140" s="313" t="s">
        <v>1538</v>
      </c>
      <c r="C140" s="314">
        <v>2860641</v>
      </c>
      <c r="D140" s="313" t="e">
        <f>VLOOKUP(A140,#REF!,4,FALSE)</f>
        <v>#REF!</v>
      </c>
      <c r="E140" s="315" t="e">
        <f t="shared" si="2"/>
        <v>#REF!</v>
      </c>
    </row>
    <row r="141" spans="1:5" x14ac:dyDescent="0.2">
      <c r="A141" s="313">
        <v>1313202920</v>
      </c>
      <c r="B141" s="313" t="s">
        <v>1156</v>
      </c>
      <c r="D141" s="313" t="e">
        <f>VLOOKUP(A141,#REF!,4,FALSE)</f>
        <v>#REF!</v>
      </c>
      <c r="E141" s="315" t="e">
        <f t="shared" si="2"/>
        <v>#REF!</v>
      </c>
    </row>
    <row r="142" spans="1:5" x14ac:dyDescent="0.2">
      <c r="A142" s="313">
        <v>1313204920</v>
      </c>
      <c r="B142" s="313" t="s">
        <v>367</v>
      </c>
      <c r="C142" s="314">
        <v>107860</v>
      </c>
      <c r="D142" s="313" t="e">
        <f>VLOOKUP(A142,#REF!,4,FALSE)</f>
        <v>#REF!</v>
      </c>
      <c r="E142" s="315" t="e">
        <f t="shared" si="2"/>
        <v>#REF!</v>
      </c>
    </row>
    <row r="143" spans="1:5" x14ac:dyDescent="0.2">
      <c r="A143" s="313">
        <v>1313205920</v>
      </c>
      <c r="B143" s="313" t="s">
        <v>368</v>
      </c>
      <c r="C143" s="314">
        <v>312611</v>
      </c>
      <c r="D143" s="313" t="e">
        <f>VLOOKUP(A143,#REF!,4,FALSE)</f>
        <v>#REF!</v>
      </c>
      <c r="E143" s="315" t="e">
        <f t="shared" si="2"/>
        <v>#REF!</v>
      </c>
    </row>
    <row r="144" spans="1:5" x14ac:dyDescent="0.2">
      <c r="A144" s="313">
        <v>1313213920</v>
      </c>
      <c r="B144" s="313" t="s">
        <v>369</v>
      </c>
      <c r="C144" s="314">
        <v>2913760</v>
      </c>
      <c r="D144" s="313" t="e">
        <f>VLOOKUP(A144,#REF!,4,FALSE)</f>
        <v>#REF!</v>
      </c>
      <c r="E144" s="315" t="e">
        <f t="shared" si="2"/>
        <v>#REF!</v>
      </c>
    </row>
    <row r="145" spans="1:5" x14ac:dyDescent="0.2">
      <c r="A145" s="313">
        <v>1313221920</v>
      </c>
      <c r="B145" s="313" t="s">
        <v>370</v>
      </c>
      <c r="C145" s="314">
        <v>33269</v>
      </c>
      <c r="D145" s="313" t="e">
        <f>VLOOKUP(A145,#REF!,4,FALSE)</f>
        <v>#REF!</v>
      </c>
      <c r="E145" s="315" t="e">
        <f t="shared" si="2"/>
        <v>#REF!</v>
      </c>
    </row>
    <row r="146" spans="1:5" x14ac:dyDescent="0.2">
      <c r="A146" s="313">
        <v>1313222920</v>
      </c>
      <c r="B146" s="313" t="s">
        <v>371</v>
      </c>
      <c r="C146" s="314">
        <v>272000</v>
      </c>
      <c r="D146" s="313" t="e">
        <f>VLOOKUP(A146,#REF!,4,FALSE)</f>
        <v>#REF!</v>
      </c>
      <c r="E146" s="315" t="e">
        <f t="shared" si="2"/>
        <v>#REF!</v>
      </c>
    </row>
    <row r="147" spans="1:5" x14ac:dyDescent="0.2">
      <c r="A147" s="313">
        <v>1313223920</v>
      </c>
      <c r="B147" s="313" t="s">
        <v>372</v>
      </c>
      <c r="C147" s="314">
        <v>262500</v>
      </c>
      <c r="D147" s="313" t="e">
        <f>VLOOKUP(A147,#REF!,4,FALSE)</f>
        <v>#REF!</v>
      </c>
      <c r="E147" s="315" t="e">
        <f t="shared" si="2"/>
        <v>#REF!</v>
      </c>
    </row>
    <row r="148" spans="1:5" x14ac:dyDescent="0.2">
      <c r="A148" s="313">
        <v>1313300920</v>
      </c>
      <c r="B148" s="313" t="s">
        <v>373</v>
      </c>
      <c r="C148" s="314">
        <v>479429</v>
      </c>
      <c r="D148" s="313" t="e">
        <f>VLOOKUP(A148,#REF!,4,FALSE)</f>
        <v>#REF!</v>
      </c>
      <c r="E148" s="315" t="e">
        <f t="shared" si="2"/>
        <v>#REF!</v>
      </c>
    </row>
    <row r="149" spans="1:5" x14ac:dyDescent="0.2">
      <c r="A149" s="313">
        <v>1313304920</v>
      </c>
      <c r="B149" s="313" t="s">
        <v>374</v>
      </c>
      <c r="C149" s="314">
        <v>262910</v>
      </c>
      <c r="D149" s="313" t="e">
        <f>VLOOKUP(A149,#REF!,4,FALSE)</f>
        <v>#REF!</v>
      </c>
      <c r="E149" s="315" t="e">
        <f t="shared" si="2"/>
        <v>#REF!</v>
      </c>
    </row>
    <row r="150" spans="1:5" x14ac:dyDescent="0.2">
      <c r="A150" s="313">
        <v>1313305920</v>
      </c>
      <c r="B150" s="313" t="s">
        <v>375</v>
      </c>
      <c r="C150" s="314">
        <v>708841</v>
      </c>
      <c r="D150" s="313" t="e">
        <f>VLOOKUP(A150,#REF!,4,FALSE)</f>
        <v>#REF!</v>
      </c>
      <c r="E150" s="315" t="e">
        <f t="shared" si="2"/>
        <v>#REF!</v>
      </c>
    </row>
    <row r="151" spans="1:5" x14ac:dyDescent="0.2">
      <c r="A151" s="313">
        <v>1313313920</v>
      </c>
      <c r="B151" s="313" t="s">
        <v>376</v>
      </c>
      <c r="C151" s="314">
        <v>2150000</v>
      </c>
      <c r="D151" s="313" t="e">
        <f>VLOOKUP(A151,#REF!,4,FALSE)</f>
        <v>#REF!</v>
      </c>
      <c r="E151" s="315" t="e">
        <f t="shared" si="2"/>
        <v>#REF!</v>
      </c>
    </row>
    <row r="152" spans="1:5" x14ac:dyDescent="0.2">
      <c r="A152" s="313">
        <v>1313330920</v>
      </c>
      <c r="B152" s="313" t="s">
        <v>378</v>
      </c>
      <c r="C152" s="314">
        <v>210125</v>
      </c>
      <c r="D152" s="313" t="e">
        <f>VLOOKUP(A152,#REF!,4,FALSE)</f>
        <v>#REF!</v>
      </c>
      <c r="E152" s="315" t="e">
        <f t="shared" si="2"/>
        <v>#REF!</v>
      </c>
    </row>
    <row r="153" spans="1:5" x14ac:dyDescent="0.2">
      <c r="A153" s="313">
        <v>1313700920</v>
      </c>
      <c r="B153" s="313" t="s">
        <v>379</v>
      </c>
      <c r="C153" s="314">
        <v>4500</v>
      </c>
      <c r="D153" s="313" t="e">
        <f>VLOOKUP(A153,#REF!,4,FALSE)</f>
        <v>#REF!</v>
      </c>
      <c r="E153" s="315" t="e">
        <f t="shared" si="2"/>
        <v>#REF!</v>
      </c>
    </row>
    <row r="154" spans="1:5" x14ac:dyDescent="0.2">
      <c r="A154" s="313">
        <v>1313704920</v>
      </c>
      <c r="B154" s="313" t="s">
        <v>380</v>
      </c>
      <c r="C154" s="314">
        <v>29900</v>
      </c>
      <c r="D154" s="313" t="e">
        <f>VLOOKUP(A154,#REF!,4,FALSE)</f>
        <v>#REF!</v>
      </c>
      <c r="E154" s="315" t="e">
        <f t="shared" si="2"/>
        <v>#REF!</v>
      </c>
    </row>
    <row r="155" spans="1:5" x14ac:dyDescent="0.2">
      <c r="A155" s="313">
        <v>1313705920</v>
      </c>
      <c r="B155" s="313" t="s">
        <v>381</v>
      </c>
      <c r="C155" s="314">
        <v>101000</v>
      </c>
      <c r="D155" s="313" t="e">
        <f>VLOOKUP(A155,#REF!,4,FALSE)</f>
        <v>#REF!</v>
      </c>
      <c r="E155" s="315" t="e">
        <f t="shared" si="2"/>
        <v>#REF!</v>
      </c>
    </row>
    <row r="156" spans="1:5" x14ac:dyDescent="0.2">
      <c r="A156" s="313">
        <v>1317100920</v>
      </c>
      <c r="B156" s="313" t="s">
        <v>382</v>
      </c>
      <c r="C156" s="314">
        <v>180000</v>
      </c>
      <c r="D156" s="313" t="e">
        <f>VLOOKUP(A156,#REF!,4,FALSE)</f>
        <v>#REF!</v>
      </c>
      <c r="E156" s="315" t="e">
        <f t="shared" si="2"/>
        <v>#REF!</v>
      </c>
    </row>
    <row r="157" spans="1:5" x14ac:dyDescent="0.2">
      <c r="A157" s="313">
        <v>1317100990</v>
      </c>
      <c r="B157" s="313" t="s">
        <v>493</v>
      </c>
      <c r="C157" s="314">
        <v>1479886</v>
      </c>
      <c r="D157" s="313" t="e">
        <f>VLOOKUP(A157,#REF!,4,FALSE)</f>
        <v>#REF!</v>
      </c>
      <c r="E157" s="315" t="e">
        <f t="shared" si="2"/>
        <v>#REF!</v>
      </c>
    </row>
    <row r="158" spans="1:5" x14ac:dyDescent="0.2">
      <c r="A158" s="313">
        <v>1317200920</v>
      </c>
      <c r="B158" s="313" t="s">
        <v>383</v>
      </c>
      <c r="C158" s="314">
        <v>45800</v>
      </c>
      <c r="D158" s="313" t="e">
        <f>VLOOKUP(A158,#REF!,4,FALSE)</f>
        <v>#REF!</v>
      </c>
      <c r="E158" s="315" t="e">
        <f t="shared" si="2"/>
        <v>#REF!</v>
      </c>
    </row>
    <row r="159" spans="1:5" x14ac:dyDescent="0.2">
      <c r="A159" s="313">
        <v>1317300920</v>
      </c>
      <c r="B159" s="313" t="s">
        <v>384</v>
      </c>
      <c r="C159" s="314">
        <v>1953214</v>
      </c>
      <c r="D159" s="313" t="e">
        <f>VLOOKUP(A159,#REF!,4,FALSE)</f>
        <v>#REF!</v>
      </c>
      <c r="E159" s="315" t="e">
        <f t="shared" si="2"/>
        <v>#REF!</v>
      </c>
    </row>
    <row r="160" spans="1:5" x14ac:dyDescent="0.2">
      <c r="A160" s="313">
        <v>1317301920</v>
      </c>
      <c r="B160" s="313" t="s">
        <v>385</v>
      </c>
      <c r="C160" s="314">
        <v>60000</v>
      </c>
      <c r="D160" s="313" t="e">
        <f>VLOOKUP(A160,#REF!,4,FALSE)</f>
        <v>#REF!</v>
      </c>
      <c r="E160" s="315" t="e">
        <f t="shared" si="2"/>
        <v>#REF!</v>
      </c>
    </row>
    <row r="161" spans="1:5" x14ac:dyDescent="0.2">
      <c r="A161" s="313">
        <v>1317600920</v>
      </c>
      <c r="B161" s="313" t="s">
        <v>1397</v>
      </c>
      <c r="C161" s="314">
        <v>1457443</v>
      </c>
      <c r="D161" s="313" t="e">
        <f>VLOOKUP(A161,#REF!,4,FALSE)</f>
        <v>#REF!</v>
      </c>
      <c r="E161" s="315" t="e">
        <f t="shared" si="2"/>
        <v>#REF!</v>
      </c>
    </row>
    <row r="162" spans="1:5" x14ac:dyDescent="0.2">
      <c r="A162" s="313">
        <v>1317700920</v>
      </c>
      <c r="B162" s="313" t="s">
        <v>387</v>
      </c>
      <c r="C162" s="314">
        <v>235000</v>
      </c>
      <c r="D162" s="313" t="e">
        <f>VLOOKUP(A162,#REF!,4,FALSE)</f>
        <v>#REF!</v>
      </c>
      <c r="E162" s="315" t="e">
        <f t="shared" si="2"/>
        <v>#REF!</v>
      </c>
    </row>
    <row r="163" spans="1:5" x14ac:dyDescent="0.2">
      <c r="A163" s="313">
        <v>1317701920</v>
      </c>
      <c r="B163" s="313" t="s">
        <v>388</v>
      </c>
      <c r="C163" s="314">
        <v>475875</v>
      </c>
      <c r="D163" s="313" t="e">
        <f>VLOOKUP(A163,#REF!,4,FALSE)</f>
        <v>#REF!</v>
      </c>
      <c r="E163" s="315" t="e">
        <f t="shared" si="2"/>
        <v>#REF!</v>
      </c>
    </row>
    <row r="164" spans="1:5" x14ac:dyDescent="0.2">
      <c r="A164" s="313">
        <v>1317702920</v>
      </c>
      <c r="B164" s="313" t="s">
        <v>389</v>
      </c>
      <c r="C164" s="314">
        <v>100000</v>
      </c>
      <c r="D164" s="313" t="e">
        <f>VLOOKUP(A164,#REF!,4,FALSE)</f>
        <v>#REF!</v>
      </c>
      <c r="E164" s="315" t="e">
        <f t="shared" si="2"/>
        <v>#REF!</v>
      </c>
    </row>
    <row r="165" spans="1:5" x14ac:dyDescent="0.2">
      <c r="A165" s="313">
        <v>1317800920</v>
      </c>
      <c r="B165" s="313" t="s">
        <v>390</v>
      </c>
      <c r="C165" s="314">
        <v>5550000</v>
      </c>
      <c r="D165" s="313" t="e">
        <f>VLOOKUP(A165,#REF!,4,FALSE)</f>
        <v>#REF!</v>
      </c>
      <c r="E165" s="315" t="e">
        <f t="shared" si="2"/>
        <v>#REF!</v>
      </c>
    </row>
    <row r="166" spans="1:5" x14ac:dyDescent="0.2">
      <c r="A166" s="313">
        <v>1317801920</v>
      </c>
      <c r="B166" s="313" t="s">
        <v>391</v>
      </c>
      <c r="C166" s="314">
        <v>2036160</v>
      </c>
      <c r="D166" s="313" t="e">
        <f>VLOOKUP(A166,#REF!,4,FALSE)</f>
        <v>#REF!</v>
      </c>
      <c r="E166" s="315" t="e">
        <f t="shared" si="2"/>
        <v>#REF!</v>
      </c>
    </row>
    <row r="167" spans="1:5" x14ac:dyDescent="0.2">
      <c r="A167" s="313">
        <v>1317904920</v>
      </c>
      <c r="B167" s="313" t="s">
        <v>392</v>
      </c>
      <c r="C167" s="314">
        <v>105000</v>
      </c>
      <c r="D167" s="313" t="e">
        <f>VLOOKUP(A167,#REF!,4,FALSE)</f>
        <v>#REF!</v>
      </c>
      <c r="E167" s="315" t="e">
        <f t="shared" si="2"/>
        <v>#REF!</v>
      </c>
    </row>
    <row r="168" spans="1:5" x14ac:dyDescent="0.2">
      <c r="A168" s="313">
        <v>1317905920</v>
      </c>
      <c r="B168" s="313" t="s">
        <v>393</v>
      </c>
      <c r="C168" s="314">
        <v>52000</v>
      </c>
      <c r="D168" s="313" t="e">
        <f>VLOOKUP(A168,#REF!,4,FALSE)</f>
        <v>#REF!</v>
      </c>
      <c r="E168" s="315" t="e">
        <f t="shared" si="2"/>
        <v>#REF!</v>
      </c>
    </row>
    <row r="169" spans="1:5" x14ac:dyDescent="0.2">
      <c r="A169" s="313">
        <v>1317922920</v>
      </c>
      <c r="B169" s="313" t="s">
        <v>394</v>
      </c>
      <c r="C169" s="314">
        <v>26271</v>
      </c>
      <c r="D169" s="313" t="e">
        <f>VLOOKUP(A169,#REF!,4,FALSE)</f>
        <v>#REF!</v>
      </c>
      <c r="E169" s="315" t="e">
        <f t="shared" si="2"/>
        <v>#REF!</v>
      </c>
    </row>
    <row r="170" spans="1:5" x14ac:dyDescent="0.2">
      <c r="A170" s="313">
        <v>1317951920</v>
      </c>
      <c r="B170" s="313" t="s">
        <v>395</v>
      </c>
      <c r="C170" s="314">
        <v>90000</v>
      </c>
      <c r="D170" s="313" t="e">
        <f>VLOOKUP(A170,#REF!,4,FALSE)</f>
        <v>#REF!</v>
      </c>
      <c r="E170" s="315" t="e">
        <f t="shared" si="2"/>
        <v>#REF!</v>
      </c>
    </row>
    <row r="171" spans="1:5" x14ac:dyDescent="0.2">
      <c r="A171" s="313">
        <v>1317952920</v>
      </c>
      <c r="B171" s="313" t="s">
        <v>1149</v>
      </c>
      <c r="C171" s="314">
        <v>120320</v>
      </c>
      <c r="D171" s="313" t="e">
        <f>VLOOKUP(A171,#REF!,4,FALSE)</f>
        <v>#REF!</v>
      </c>
      <c r="E171" s="315" t="e">
        <f t="shared" si="2"/>
        <v>#REF!</v>
      </c>
    </row>
    <row r="172" spans="1:5" x14ac:dyDescent="0.2">
      <c r="A172" s="313">
        <v>1317960920</v>
      </c>
      <c r="B172" s="313" t="s">
        <v>397</v>
      </c>
      <c r="C172" s="314">
        <v>350000</v>
      </c>
      <c r="D172" s="313" t="e">
        <f>VLOOKUP(A172,#REF!,4,FALSE)</f>
        <v>#REF!</v>
      </c>
      <c r="E172" s="315" t="e">
        <f t="shared" si="2"/>
        <v>#REF!</v>
      </c>
    </row>
    <row r="173" spans="1:5" x14ac:dyDescent="0.2">
      <c r="A173" s="313" t="s">
        <v>277</v>
      </c>
      <c r="B173" s="313" t="s">
        <v>361</v>
      </c>
      <c r="C173" s="314">
        <v>51868659</v>
      </c>
      <c r="D173" s="313" t="e">
        <f>VLOOKUP(A173,#REF!,4,FALSE)</f>
        <v>#REF!</v>
      </c>
      <c r="E173" s="315" t="e">
        <f t="shared" si="2"/>
        <v>#REF!</v>
      </c>
    </row>
    <row r="174" spans="1:5" x14ac:dyDescent="0.2">
      <c r="A174" s="313" t="s">
        <v>399</v>
      </c>
      <c r="B174" s="313" t="s">
        <v>400</v>
      </c>
      <c r="D174" s="313" t="e">
        <f>VLOOKUP(A174,#REF!,4,FALSE)</f>
        <v>#REF!</v>
      </c>
      <c r="E174" s="315" t="e">
        <f t="shared" si="2"/>
        <v>#REF!</v>
      </c>
    </row>
    <row r="175" spans="1:5" x14ac:dyDescent="0.2">
      <c r="A175" s="313">
        <v>1341000930</v>
      </c>
      <c r="B175" s="313" t="s">
        <v>401</v>
      </c>
      <c r="C175" s="314">
        <v>6240000</v>
      </c>
      <c r="D175" s="313" t="e">
        <f>VLOOKUP(A175,#REF!,4,FALSE)</f>
        <v>#REF!</v>
      </c>
      <c r="E175" s="315" t="e">
        <f t="shared" si="2"/>
        <v>#REF!</v>
      </c>
    </row>
    <row r="176" spans="1:5" x14ac:dyDescent="0.2">
      <c r="A176" s="313">
        <v>1341000933</v>
      </c>
      <c r="B176" s="313" t="s">
        <v>402</v>
      </c>
      <c r="C176" s="314">
        <v>15000</v>
      </c>
      <c r="D176" s="313" t="e">
        <f>VLOOKUP(A176,#REF!,4,FALSE)</f>
        <v>#REF!</v>
      </c>
      <c r="E176" s="315" t="e">
        <f t="shared" si="2"/>
        <v>#REF!</v>
      </c>
    </row>
    <row r="177" spans="1:5" x14ac:dyDescent="0.2">
      <c r="A177" s="313">
        <v>1341000934</v>
      </c>
      <c r="B177" s="313" t="s">
        <v>403</v>
      </c>
      <c r="C177" s="314">
        <v>106800</v>
      </c>
      <c r="D177" s="313" t="e">
        <f>VLOOKUP(A177,#REF!,4,FALSE)</f>
        <v>#REF!</v>
      </c>
      <c r="E177" s="315" t="e">
        <f t="shared" si="2"/>
        <v>#REF!</v>
      </c>
    </row>
    <row r="178" spans="1:5" x14ac:dyDescent="0.2">
      <c r="A178" s="313">
        <v>1341000935</v>
      </c>
      <c r="B178" s="313" t="s">
        <v>1404</v>
      </c>
      <c r="C178" s="314">
        <v>22500</v>
      </c>
      <c r="D178" s="313" t="e">
        <f>VLOOKUP(A178,#REF!,4,FALSE)</f>
        <v>#REF!</v>
      </c>
      <c r="E178" s="315" t="e">
        <f t="shared" si="2"/>
        <v>#REF!</v>
      </c>
    </row>
    <row r="179" spans="1:5" x14ac:dyDescent="0.2">
      <c r="A179" s="313">
        <v>1341000936</v>
      </c>
      <c r="B179" s="313" t="s">
        <v>404</v>
      </c>
      <c r="C179" s="314">
        <v>7500</v>
      </c>
      <c r="D179" s="313" t="e">
        <f>VLOOKUP(A179,#REF!,4,FALSE)</f>
        <v>#REF!</v>
      </c>
      <c r="E179" s="315" t="e">
        <f t="shared" si="2"/>
        <v>#REF!</v>
      </c>
    </row>
    <row r="180" spans="1:5" x14ac:dyDescent="0.2">
      <c r="A180" s="313">
        <v>1341000937</v>
      </c>
      <c r="B180" s="313" t="s">
        <v>405</v>
      </c>
      <c r="C180" s="314">
        <v>20000</v>
      </c>
      <c r="D180" s="313" t="e">
        <f>VLOOKUP(A180,#REF!,4,FALSE)</f>
        <v>#REF!</v>
      </c>
      <c r="E180" s="315" t="e">
        <f t="shared" si="2"/>
        <v>#REF!</v>
      </c>
    </row>
    <row r="181" spans="1:5" x14ac:dyDescent="0.2">
      <c r="A181" s="313">
        <v>1341000938</v>
      </c>
      <c r="B181" s="313" t="s">
        <v>1487</v>
      </c>
      <c r="C181" s="314">
        <v>228123</v>
      </c>
      <c r="D181" s="313" t="e">
        <f>VLOOKUP(A181,#REF!,4,FALSE)</f>
        <v>#REF!</v>
      </c>
      <c r="E181" s="315" t="e">
        <f t="shared" si="2"/>
        <v>#REF!</v>
      </c>
    </row>
    <row r="182" spans="1:5" x14ac:dyDescent="0.2">
      <c r="A182" s="313">
        <v>1341000939</v>
      </c>
      <c r="B182" s="313" t="s">
        <v>1591</v>
      </c>
      <c r="D182" s="313" t="e">
        <f>VLOOKUP(A182,#REF!,4,FALSE)</f>
        <v>#REF!</v>
      </c>
      <c r="E182" s="315" t="e">
        <f t="shared" si="2"/>
        <v>#REF!</v>
      </c>
    </row>
    <row r="183" spans="1:5" x14ac:dyDescent="0.2">
      <c r="A183" s="313">
        <v>1342200930</v>
      </c>
      <c r="B183" s="313" t="s">
        <v>406</v>
      </c>
      <c r="C183" s="314">
        <v>105000</v>
      </c>
      <c r="D183" s="313" t="e">
        <f>VLOOKUP(A183,#REF!,4,FALSE)</f>
        <v>#REF!</v>
      </c>
      <c r="E183" s="315" t="e">
        <f t="shared" si="2"/>
        <v>#REF!</v>
      </c>
    </row>
    <row r="184" spans="1:5" x14ac:dyDescent="0.2">
      <c r="A184" s="313">
        <v>1342200933</v>
      </c>
      <c r="B184" s="313" t="s">
        <v>407</v>
      </c>
      <c r="C184" s="314">
        <v>112000</v>
      </c>
      <c r="D184" s="313" t="e">
        <f>VLOOKUP(A184,#REF!,4,FALSE)</f>
        <v>#REF!</v>
      </c>
      <c r="E184" s="315" t="e">
        <f t="shared" si="2"/>
        <v>#REF!</v>
      </c>
    </row>
    <row r="185" spans="1:5" x14ac:dyDescent="0.2">
      <c r="A185" s="313">
        <v>1342200934</v>
      </c>
      <c r="B185" s="313" t="s">
        <v>408</v>
      </c>
      <c r="C185" s="314">
        <v>20700</v>
      </c>
      <c r="D185" s="313" t="e">
        <f>VLOOKUP(A185,#REF!,4,FALSE)</f>
        <v>#REF!</v>
      </c>
      <c r="E185" s="315" t="e">
        <f t="shared" si="2"/>
        <v>#REF!</v>
      </c>
    </row>
    <row r="186" spans="1:5" x14ac:dyDescent="0.2">
      <c r="A186" s="313">
        <v>1342200936</v>
      </c>
      <c r="B186" s="313" t="s">
        <v>409</v>
      </c>
      <c r="C186" s="314">
        <v>142626</v>
      </c>
      <c r="D186" s="313" t="e">
        <f>VLOOKUP(A186,#REF!,4,FALSE)</f>
        <v>#REF!</v>
      </c>
      <c r="E186" s="315" t="e">
        <f t="shared" si="2"/>
        <v>#REF!</v>
      </c>
    </row>
    <row r="187" spans="1:5" x14ac:dyDescent="0.2">
      <c r="A187" s="313">
        <v>1342200937</v>
      </c>
      <c r="B187" s="313" t="s">
        <v>1485</v>
      </c>
      <c r="D187" s="313" t="e">
        <f>VLOOKUP(A187,#REF!,4,FALSE)</f>
        <v>#REF!</v>
      </c>
      <c r="E187" s="315" t="e">
        <f t="shared" si="2"/>
        <v>#REF!</v>
      </c>
    </row>
    <row r="188" spans="1:5" x14ac:dyDescent="0.2">
      <c r="A188" s="313">
        <v>1342400931</v>
      </c>
      <c r="B188" s="313" t="s">
        <v>410</v>
      </c>
      <c r="C188" s="314">
        <v>7200</v>
      </c>
      <c r="D188" s="313" t="e">
        <f>VLOOKUP(A188,#REF!,4,FALSE)</f>
        <v>#REF!</v>
      </c>
      <c r="E188" s="315" t="e">
        <f t="shared" si="2"/>
        <v>#REF!</v>
      </c>
    </row>
    <row r="189" spans="1:5" x14ac:dyDescent="0.2">
      <c r="A189" s="313">
        <v>1342400935</v>
      </c>
      <c r="B189" s="313" t="s">
        <v>411</v>
      </c>
      <c r="C189" s="314">
        <v>92250</v>
      </c>
      <c r="D189" s="313" t="e">
        <f>VLOOKUP(A189,#REF!,4,FALSE)</f>
        <v>#REF!</v>
      </c>
      <c r="E189" s="315" t="e">
        <f t="shared" si="2"/>
        <v>#REF!</v>
      </c>
    </row>
    <row r="190" spans="1:5" x14ac:dyDescent="0.2">
      <c r="A190" s="313">
        <v>1342400937</v>
      </c>
      <c r="B190" s="313" t="s">
        <v>1592</v>
      </c>
      <c r="D190" s="313" t="e">
        <f>VLOOKUP(A190,#REF!,4,FALSE)</f>
        <v>#REF!</v>
      </c>
      <c r="E190" s="315" t="e">
        <f t="shared" si="2"/>
        <v>#REF!</v>
      </c>
    </row>
    <row r="191" spans="1:5" x14ac:dyDescent="0.2">
      <c r="A191" s="313">
        <v>1342401930</v>
      </c>
      <c r="B191" s="313" t="s">
        <v>412</v>
      </c>
      <c r="C191" s="314">
        <v>145800</v>
      </c>
      <c r="D191" s="313" t="e">
        <f>VLOOKUP(A191,#REF!,4,FALSE)</f>
        <v>#REF!</v>
      </c>
      <c r="E191" s="315" t="e">
        <f t="shared" si="2"/>
        <v>#REF!</v>
      </c>
    </row>
    <row r="192" spans="1:5" x14ac:dyDescent="0.2">
      <c r="A192" s="313">
        <v>1342401931</v>
      </c>
      <c r="B192" s="313" t="s">
        <v>1549</v>
      </c>
      <c r="C192" s="314">
        <v>207000</v>
      </c>
      <c r="D192" s="313" t="e">
        <f>VLOOKUP(A192,#REF!,4,FALSE)</f>
        <v>#REF!</v>
      </c>
      <c r="E192" s="315" t="e">
        <f t="shared" si="2"/>
        <v>#REF!</v>
      </c>
    </row>
    <row r="193" spans="1:5" x14ac:dyDescent="0.2">
      <c r="A193" s="313">
        <v>1343500931</v>
      </c>
      <c r="B193" s="313" t="s">
        <v>413</v>
      </c>
      <c r="C193" s="314">
        <v>213976</v>
      </c>
      <c r="D193" s="313" t="e">
        <f>VLOOKUP(A193,#REF!,4,FALSE)</f>
        <v>#REF!</v>
      </c>
      <c r="E193" s="315" t="e">
        <f t="shared" si="2"/>
        <v>#REF!</v>
      </c>
    </row>
    <row r="194" spans="1:5" x14ac:dyDescent="0.2">
      <c r="A194" s="313">
        <v>1343500932</v>
      </c>
      <c r="B194" s="313" t="s">
        <v>414</v>
      </c>
      <c r="C194" s="314">
        <v>381684</v>
      </c>
      <c r="D194" s="313" t="e">
        <f>VLOOKUP(A194,#REF!,4,FALSE)</f>
        <v>#REF!</v>
      </c>
      <c r="E194" s="315" t="e">
        <f t="shared" si="2"/>
        <v>#REF!</v>
      </c>
    </row>
    <row r="195" spans="1:5" x14ac:dyDescent="0.2">
      <c r="A195" s="313">
        <v>1343500934</v>
      </c>
      <c r="B195" s="313" t="s">
        <v>415</v>
      </c>
      <c r="C195" s="314">
        <v>302292</v>
      </c>
      <c r="D195" s="313" t="e">
        <f>VLOOKUP(A195,#REF!,4,FALSE)</f>
        <v>#REF!</v>
      </c>
      <c r="E195" s="315" t="e">
        <f t="shared" si="2"/>
        <v>#REF!</v>
      </c>
    </row>
    <row r="196" spans="1:5" x14ac:dyDescent="0.2">
      <c r="A196" s="313">
        <v>1343500935</v>
      </c>
      <c r="B196" s="313" t="s">
        <v>416</v>
      </c>
      <c r="C196" s="314">
        <v>78750</v>
      </c>
      <c r="D196" s="313" t="e">
        <f>VLOOKUP(A196,#REF!,4,FALSE)</f>
        <v>#REF!</v>
      </c>
      <c r="E196" s="315" t="e">
        <f t="shared" si="2"/>
        <v>#REF!</v>
      </c>
    </row>
    <row r="197" spans="1:5" x14ac:dyDescent="0.2">
      <c r="A197" s="313">
        <v>1343500937</v>
      </c>
      <c r="B197" s="313" t="s">
        <v>417</v>
      </c>
      <c r="C197" s="314">
        <v>29000</v>
      </c>
      <c r="D197" s="313" t="e">
        <f>VLOOKUP(A197,#REF!,4,FALSE)</f>
        <v>#REF!</v>
      </c>
      <c r="E197" s="315" t="e">
        <f t="shared" si="2"/>
        <v>#REF!</v>
      </c>
    </row>
    <row r="198" spans="1:5" x14ac:dyDescent="0.2">
      <c r="A198" s="313">
        <v>1343500939</v>
      </c>
      <c r="B198" s="313" t="s">
        <v>418</v>
      </c>
      <c r="C198" s="314">
        <v>88500</v>
      </c>
      <c r="D198" s="313" t="e">
        <f>VLOOKUP(A198,#REF!,4,FALSE)</f>
        <v>#REF!</v>
      </c>
      <c r="E198" s="315" t="e">
        <f t="shared" ref="E198:E261" si="3">C198-D198</f>
        <v>#REF!</v>
      </c>
    </row>
    <row r="199" spans="1:5" x14ac:dyDescent="0.2">
      <c r="A199" s="313">
        <v>1343500940</v>
      </c>
      <c r="B199" s="313" t="s">
        <v>58</v>
      </c>
      <c r="C199" s="314">
        <v>3750</v>
      </c>
      <c r="D199" s="313" t="e">
        <f>VLOOKUP(A199,#REF!,4,FALSE)</f>
        <v>#REF!</v>
      </c>
      <c r="E199" s="315" t="e">
        <f t="shared" si="3"/>
        <v>#REF!</v>
      </c>
    </row>
    <row r="200" spans="1:5" x14ac:dyDescent="0.2">
      <c r="A200" s="313">
        <v>1343500941</v>
      </c>
      <c r="B200" s="313" t="s">
        <v>1593</v>
      </c>
      <c r="C200" s="314">
        <v>3750</v>
      </c>
      <c r="D200" s="313" t="e">
        <f>VLOOKUP(A200,#REF!,4,FALSE)</f>
        <v>#REF!</v>
      </c>
      <c r="E200" s="315" t="e">
        <f t="shared" si="3"/>
        <v>#REF!</v>
      </c>
    </row>
    <row r="201" spans="1:5" x14ac:dyDescent="0.2">
      <c r="A201" s="313">
        <v>1343800930</v>
      </c>
      <c r="B201" s="313" t="s">
        <v>419</v>
      </c>
      <c r="C201" s="314">
        <v>3811844</v>
      </c>
      <c r="D201" s="313" t="e">
        <f>VLOOKUP(A201,#REF!,4,FALSE)</f>
        <v>#REF!</v>
      </c>
      <c r="E201" s="315" t="e">
        <f t="shared" si="3"/>
        <v>#REF!</v>
      </c>
    </row>
    <row r="202" spans="1:5" x14ac:dyDescent="0.2">
      <c r="A202" s="313">
        <v>1343800935</v>
      </c>
      <c r="B202" s="313" t="s">
        <v>420</v>
      </c>
      <c r="C202" s="314">
        <v>302130</v>
      </c>
      <c r="D202" s="313" t="e">
        <f>VLOOKUP(A202,#REF!,4,FALSE)</f>
        <v>#REF!</v>
      </c>
      <c r="E202" s="315" t="e">
        <f t="shared" si="3"/>
        <v>#REF!</v>
      </c>
    </row>
    <row r="203" spans="1:5" x14ac:dyDescent="0.2">
      <c r="A203" s="313">
        <v>1343900930</v>
      </c>
      <c r="B203" s="313" t="s">
        <v>421</v>
      </c>
      <c r="C203" s="314">
        <v>2376000</v>
      </c>
      <c r="D203" s="313" t="e">
        <f>VLOOKUP(A203,#REF!,4,FALSE)</f>
        <v>#REF!</v>
      </c>
      <c r="E203" s="315" t="e">
        <f t="shared" si="3"/>
        <v>#REF!</v>
      </c>
    </row>
    <row r="204" spans="1:5" x14ac:dyDescent="0.2">
      <c r="A204" s="313">
        <v>1344300930</v>
      </c>
      <c r="B204" s="313" t="s">
        <v>300</v>
      </c>
      <c r="C204" s="314">
        <v>3974930</v>
      </c>
      <c r="D204" s="313" t="e">
        <f>VLOOKUP(A204,#REF!,4,FALSE)</f>
        <v>#REF!</v>
      </c>
      <c r="E204" s="315" t="e">
        <f t="shared" si="3"/>
        <v>#REF!</v>
      </c>
    </row>
    <row r="205" spans="1:5" x14ac:dyDescent="0.2">
      <c r="A205" s="313">
        <v>1344300932</v>
      </c>
      <c r="B205" s="313" t="s">
        <v>59</v>
      </c>
      <c r="D205" s="313" t="e">
        <f>VLOOKUP(A205,#REF!,4,FALSE)</f>
        <v>#REF!</v>
      </c>
      <c r="E205" s="315" t="e">
        <f t="shared" si="3"/>
        <v>#REF!</v>
      </c>
    </row>
    <row r="206" spans="1:5" x14ac:dyDescent="0.2">
      <c r="A206" s="313">
        <v>1344400931</v>
      </c>
      <c r="B206" s="313" t="s">
        <v>422</v>
      </c>
      <c r="C206" s="314">
        <v>100000</v>
      </c>
      <c r="D206" s="313" t="e">
        <f>VLOOKUP(A206,#REF!,4,FALSE)</f>
        <v>#REF!</v>
      </c>
      <c r="E206" s="315" t="e">
        <f t="shared" si="3"/>
        <v>#REF!</v>
      </c>
    </row>
    <row r="207" spans="1:5" x14ac:dyDescent="0.2">
      <c r="A207" s="313">
        <v>1344400932</v>
      </c>
      <c r="B207" s="313" t="s">
        <v>423</v>
      </c>
      <c r="C207" s="314">
        <v>132750</v>
      </c>
      <c r="D207" s="313" t="e">
        <f>VLOOKUP(A207,#REF!,4,FALSE)</f>
        <v>#REF!</v>
      </c>
      <c r="E207" s="315" t="e">
        <f t="shared" si="3"/>
        <v>#REF!</v>
      </c>
    </row>
    <row r="208" spans="1:5" x14ac:dyDescent="0.2">
      <c r="A208" s="313">
        <v>1344400933</v>
      </c>
      <c r="B208" s="313" t="s">
        <v>1194</v>
      </c>
      <c r="D208" s="313" t="e">
        <f>VLOOKUP(A208,#REF!,4,FALSE)</f>
        <v>#REF!</v>
      </c>
      <c r="E208" s="315" t="e">
        <f t="shared" si="3"/>
        <v>#REF!</v>
      </c>
    </row>
    <row r="209" spans="1:5" x14ac:dyDescent="0.2">
      <c r="A209" s="313">
        <v>1344400934</v>
      </c>
      <c r="B209" s="313" t="s">
        <v>424</v>
      </c>
      <c r="C209" s="314">
        <v>231600</v>
      </c>
      <c r="D209" s="313" t="e">
        <f>VLOOKUP(A209,#REF!,4,FALSE)</f>
        <v>#REF!</v>
      </c>
      <c r="E209" s="315" t="e">
        <f t="shared" si="3"/>
        <v>#REF!</v>
      </c>
    </row>
    <row r="210" spans="1:5" x14ac:dyDescent="0.2">
      <c r="A210" s="313">
        <v>1344400935</v>
      </c>
      <c r="B210" s="313" t="s">
        <v>425</v>
      </c>
      <c r="C210" s="314">
        <v>15000</v>
      </c>
      <c r="D210" s="313" t="e">
        <f>VLOOKUP(A210,#REF!,4,FALSE)</f>
        <v>#REF!</v>
      </c>
      <c r="E210" s="315" t="e">
        <f t="shared" si="3"/>
        <v>#REF!</v>
      </c>
    </row>
    <row r="211" spans="1:5" x14ac:dyDescent="0.2">
      <c r="A211" s="313">
        <v>1344400936</v>
      </c>
      <c r="B211" s="313" t="s">
        <v>60</v>
      </c>
      <c r="D211" s="313" t="e">
        <f>VLOOKUP(A211,#REF!,4,FALSE)</f>
        <v>#REF!</v>
      </c>
      <c r="E211" s="315" t="e">
        <f t="shared" si="3"/>
        <v>#REF!</v>
      </c>
    </row>
    <row r="212" spans="1:5" x14ac:dyDescent="0.2">
      <c r="A212" s="313">
        <v>1344400939</v>
      </c>
      <c r="B212" s="313" t="s">
        <v>426</v>
      </c>
      <c r="C212" s="314">
        <v>216000</v>
      </c>
      <c r="D212" s="313" t="e">
        <f>VLOOKUP(A212,#REF!,4,FALSE)</f>
        <v>#REF!</v>
      </c>
      <c r="E212" s="315" t="e">
        <f t="shared" si="3"/>
        <v>#REF!</v>
      </c>
    </row>
    <row r="213" spans="1:5" x14ac:dyDescent="0.2">
      <c r="A213" s="313">
        <v>1344400940</v>
      </c>
      <c r="B213" s="313" t="s">
        <v>1482</v>
      </c>
      <c r="C213" s="314">
        <v>60000</v>
      </c>
      <c r="D213" s="313" t="e">
        <f>VLOOKUP(A213,#REF!,4,FALSE)</f>
        <v>#REF!</v>
      </c>
      <c r="E213" s="315" t="e">
        <f t="shared" si="3"/>
        <v>#REF!</v>
      </c>
    </row>
    <row r="214" spans="1:5" x14ac:dyDescent="0.2">
      <c r="A214" s="313">
        <v>1344400941</v>
      </c>
      <c r="B214" s="313" t="s">
        <v>1594</v>
      </c>
      <c r="D214" s="313" t="e">
        <f>VLOOKUP(A214,#REF!,4,FALSE)</f>
        <v>#REF!</v>
      </c>
      <c r="E214" s="315" t="e">
        <f t="shared" si="3"/>
        <v>#REF!</v>
      </c>
    </row>
    <row r="215" spans="1:5" x14ac:dyDescent="0.2">
      <c r="A215" s="313">
        <v>1344400942</v>
      </c>
      <c r="B215" s="313" t="s">
        <v>1722</v>
      </c>
      <c r="D215" s="313" t="e">
        <f>VLOOKUP(A215,#REF!,4,FALSE)</f>
        <v>#REF!</v>
      </c>
      <c r="E215" s="315" t="e">
        <f t="shared" si="3"/>
        <v>#REF!</v>
      </c>
    </row>
    <row r="216" spans="1:5" x14ac:dyDescent="0.2">
      <c r="A216" s="313">
        <v>1344400943</v>
      </c>
      <c r="B216" s="313" t="s">
        <v>1951</v>
      </c>
      <c r="D216" s="313" t="e">
        <f>VLOOKUP(A216,#REF!,4,FALSE)</f>
        <v>#REF!</v>
      </c>
      <c r="E216" s="315" t="e">
        <f t="shared" si="3"/>
        <v>#REF!</v>
      </c>
    </row>
    <row r="217" spans="1:5" x14ac:dyDescent="0.2">
      <c r="A217" s="313">
        <v>1344500930</v>
      </c>
      <c r="B217" s="313" t="s">
        <v>427</v>
      </c>
      <c r="C217" s="314">
        <v>431424</v>
      </c>
      <c r="D217" s="313" t="e">
        <f>VLOOKUP(A217,#REF!,4,FALSE)</f>
        <v>#REF!</v>
      </c>
      <c r="E217" s="315" t="e">
        <f t="shared" si="3"/>
        <v>#REF!</v>
      </c>
    </row>
    <row r="218" spans="1:5" x14ac:dyDescent="0.2">
      <c r="A218" s="313">
        <v>1344500934</v>
      </c>
      <c r="B218" s="313" t="s">
        <v>1650</v>
      </c>
      <c r="C218" s="314">
        <v>170250</v>
      </c>
      <c r="D218" s="313" t="e">
        <f>VLOOKUP(A218,#REF!,4,FALSE)</f>
        <v>#REF!</v>
      </c>
      <c r="E218" s="315" t="e">
        <f t="shared" si="3"/>
        <v>#REF!</v>
      </c>
    </row>
    <row r="219" spans="1:5" x14ac:dyDescent="0.2">
      <c r="A219" s="313">
        <v>1344500935</v>
      </c>
      <c r="B219" s="313" t="s">
        <v>1649</v>
      </c>
      <c r="C219" s="314">
        <v>252000</v>
      </c>
      <c r="D219" s="313" t="e">
        <f>VLOOKUP(A219,#REF!,4,FALSE)</f>
        <v>#REF!</v>
      </c>
      <c r="E219" s="315" t="e">
        <f t="shared" si="3"/>
        <v>#REF!</v>
      </c>
    </row>
    <row r="220" spans="1:5" x14ac:dyDescent="0.2">
      <c r="A220" s="313">
        <v>1345100932</v>
      </c>
      <c r="B220" s="313" t="s">
        <v>431</v>
      </c>
      <c r="C220" s="314">
        <v>1004220</v>
      </c>
      <c r="D220" s="313" t="e">
        <f>VLOOKUP(A220,#REF!,4,FALSE)</f>
        <v>#REF!</v>
      </c>
      <c r="E220" s="315" t="e">
        <f t="shared" si="3"/>
        <v>#REF!</v>
      </c>
    </row>
    <row r="221" spans="1:5" x14ac:dyDescent="0.2">
      <c r="A221" s="313">
        <v>1345100933</v>
      </c>
      <c r="B221" s="313" t="s">
        <v>432</v>
      </c>
      <c r="C221" s="314">
        <v>32747</v>
      </c>
      <c r="D221" s="313" t="e">
        <f>VLOOKUP(A221,#REF!,4,FALSE)</f>
        <v>#REF!</v>
      </c>
      <c r="E221" s="315" t="e">
        <f t="shared" si="3"/>
        <v>#REF!</v>
      </c>
    </row>
    <row r="222" spans="1:5" x14ac:dyDescent="0.2">
      <c r="A222" s="313">
        <v>1345100934</v>
      </c>
      <c r="B222" s="313" t="s">
        <v>1196</v>
      </c>
      <c r="C222" s="314">
        <v>12000</v>
      </c>
      <c r="D222" s="313" t="e">
        <f>VLOOKUP(A222,#REF!,4,FALSE)</f>
        <v>#REF!</v>
      </c>
      <c r="E222" s="315" t="e">
        <f t="shared" si="3"/>
        <v>#REF!</v>
      </c>
    </row>
    <row r="223" spans="1:5" x14ac:dyDescent="0.2">
      <c r="A223" s="313">
        <v>1345100935</v>
      </c>
      <c r="B223" s="313" t="s">
        <v>433</v>
      </c>
      <c r="C223" s="314">
        <v>21190</v>
      </c>
      <c r="D223" s="313" t="e">
        <f>VLOOKUP(A223,#REF!,4,FALSE)</f>
        <v>#REF!</v>
      </c>
      <c r="E223" s="315" t="e">
        <f t="shared" si="3"/>
        <v>#REF!</v>
      </c>
    </row>
    <row r="224" spans="1:5" x14ac:dyDescent="0.2">
      <c r="A224" s="313">
        <v>1345100936</v>
      </c>
      <c r="B224" s="313" t="s">
        <v>434</v>
      </c>
      <c r="C224" s="314">
        <v>169110</v>
      </c>
      <c r="D224" s="313" t="e">
        <f>VLOOKUP(A224,#REF!,4,FALSE)</f>
        <v>#REF!</v>
      </c>
      <c r="E224" s="315" t="e">
        <f t="shared" si="3"/>
        <v>#REF!</v>
      </c>
    </row>
    <row r="225" spans="1:5" x14ac:dyDescent="0.2">
      <c r="A225" s="313">
        <v>1345100938</v>
      </c>
      <c r="B225" s="313" t="s">
        <v>1412</v>
      </c>
      <c r="D225" s="313" t="e">
        <f>VLOOKUP(A225,#REF!,4,FALSE)</f>
        <v>#REF!</v>
      </c>
      <c r="E225" s="315" t="e">
        <f t="shared" si="3"/>
        <v>#REF!</v>
      </c>
    </row>
    <row r="226" spans="1:5" x14ac:dyDescent="0.2">
      <c r="A226" s="313">
        <v>1345100939</v>
      </c>
      <c r="B226" s="313" t="s">
        <v>1413</v>
      </c>
      <c r="C226" s="314">
        <v>36000</v>
      </c>
      <c r="D226" s="313" t="e">
        <f>VLOOKUP(A226,#REF!,4,FALSE)</f>
        <v>#REF!</v>
      </c>
      <c r="E226" s="315" t="e">
        <f t="shared" si="3"/>
        <v>#REF!</v>
      </c>
    </row>
    <row r="227" spans="1:5" x14ac:dyDescent="0.2">
      <c r="A227" s="313">
        <v>1345100940</v>
      </c>
      <c r="B227" s="313" t="s">
        <v>61</v>
      </c>
      <c r="C227" s="314">
        <v>9372600</v>
      </c>
      <c r="D227" s="313" t="e">
        <f>VLOOKUP(A227,#REF!,4,FALSE)</f>
        <v>#REF!</v>
      </c>
      <c r="E227" s="315" t="e">
        <f t="shared" si="3"/>
        <v>#REF!</v>
      </c>
    </row>
    <row r="228" spans="1:5" x14ac:dyDescent="0.2">
      <c r="A228" s="313">
        <v>1345100941</v>
      </c>
      <c r="B228" s="313" t="s">
        <v>62</v>
      </c>
      <c r="C228" s="314">
        <v>2394000</v>
      </c>
      <c r="D228" s="313" t="e">
        <f>VLOOKUP(A228,#REF!,4,FALSE)</f>
        <v>#REF!</v>
      </c>
      <c r="E228" s="315" t="e">
        <f t="shared" si="3"/>
        <v>#REF!</v>
      </c>
    </row>
    <row r="229" spans="1:5" x14ac:dyDescent="0.2">
      <c r="A229" s="313">
        <v>1345100942</v>
      </c>
      <c r="B229" s="313" t="s">
        <v>1480</v>
      </c>
      <c r="C229" s="314">
        <v>108852</v>
      </c>
      <c r="D229" s="313" t="e">
        <f>VLOOKUP(A229,#REF!,4,FALSE)</f>
        <v>#REF!</v>
      </c>
      <c r="E229" s="315" t="e">
        <f t="shared" si="3"/>
        <v>#REF!</v>
      </c>
    </row>
    <row r="230" spans="1:5" x14ac:dyDescent="0.2">
      <c r="A230" s="313">
        <v>1345100943</v>
      </c>
      <c r="B230" s="313" t="s">
        <v>1952</v>
      </c>
      <c r="D230" s="313" t="e">
        <f>VLOOKUP(A230,#REF!,4,FALSE)</f>
        <v>#REF!</v>
      </c>
      <c r="E230" s="315" t="e">
        <f t="shared" si="3"/>
        <v>#REF!</v>
      </c>
    </row>
    <row r="231" spans="1:5" x14ac:dyDescent="0.2">
      <c r="A231" s="313">
        <v>1345200932</v>
      </c>
      <c r="B231" s="313" t="s">
        <v>437</v>
      </c>
      <c r="C231" s="314">
        <v>460110</v>
      </c>
      <c r="D231" s="313" t="e">
        <f>VLOOKUP(A231,#REF!,4,FALSE)</f>
        <v>#REF!</v>
      </c>
      <c r="E231" s="315" t="e">
        <f t="shared" si="3"/>
        <v>#REF!</v>
      </c>
    </row>
    <row r="232" spans="1:5" x14ac:dyDescent="0.2">
      <c r="A232" s="313">
        <v>1345200936</v>
      </c>
      <c r="B232" s="313" t="s">
        <v>63</v>
      </c>
      <c r="D232" s="313" t="e">
        <f>VLOOKUP(A232,#REF!,4,FALSE)</f>
        <v>#REF!</v>
      </c>
      <c r="E232" s="315" t="e">
        <f t="shared" si="3"/>
        <v>#REF!</v>
      </c>
    </row>
    <row r="233" spans="1:5" x14ac:dyDescent="0.2">
      <c r="A233" s="313">
        <v>1345200937</v>
      </c>
      <c r="B233" s="313" t="s">
        <v>64</v>
      </c>
      <c r="C233" s="314">
        <v>989109</v>
      </c>
      <c r="D233" s="313" t="e">
        <f>VLOOKUP(A233,#REF!,4,FALSE)</f>
        <v>#REF!</v>
      </c>
      <c r="E233" s="315" t="e">
        <f t="shared" si="3"/>
        <v>#REF!</v>
      </c>
    </row>
    <row r="234" spans="1:5" x14ac:dyDescent="0.2">
      <c r="A234" s="313">
        <v>1345300930</v>
      </c>
      <c r="B234" s="313" t="s">
        <v>298</v>
      </c>
      <c r="D234" s="313" t="e">
        <f>VLOOKUP(A234,#REF!,4,FALSE)</f>
        <v>#REF!</v>
      </c>
      <c r="E234" s="315" t="e">
        <f t="shared" si="3"/>
        <v>#REF!</v>
      </c>
    </row>
    <row r="235" spans="1:5" x14ac:dyDescent="0.2">
      <c r="A235" s="313">
        <v>1345300931</v>
      </c>
      <c r="B235" s="313" t="s">
        <v>439</v>
      </c>
      <c r="C235" s="314">
        <v>12525</v>
      </c>
      <c r="D235" s="313" t="e">
        <f>VLOOKUP(A235,#REF!,4,FALSE)</f>
        <v>#REF!</v>
      </c>
      <c r="E235" s="315" t="e">
        <f t="shared" si="3"/>
        <v>#REF!</v>
      </c>
    </row>
    <row r="236" spans="1:5" x14ac:dyDescent="0.2">
      <c r="A236" s="313">
        <v>1345300933</v>
      </c>
      <c r="B236" s="313" t="s">
        <v>440</v>
      </c>
      <c r="D236" s="313" t="e">
        <f>VLOOKUP(A236,#REF!,4,FALSE)</f>
        <v>#REF!</v>
      </c>
      <c r="E236" s="315" t="e">
        <f t="shared" si="3"/>
        <v>#REF!</v>
      </c>
    </row>
    <row r="237" spans="1:5" x14ac:dyDescent="0.2">
      <c r="A237" s="313">
        <v>1345300936</v>
      </c>
      <c r="B237" s="313" t="s">
        <v>87</v>
      </c>
      <c r="C237" s="314">
        <v>9020</v>
      </c>
      <c r="D237" s="313" t="e">
        <f>VLOOKUP(A237,#REF!,4,FALSE)</f>
        <v>#REF!</v>
      </c>
      <c r="E237" s="315" t="e">
        <f t="shared" si="3"/>
        <v>#REF!</v>
      </c>
    </row>
    <row r="238" spans="1:5" x14ac:dyDescent="0.2">
      <c r="A238" s="313">
        <v>1345300937</v>
      </c>
      <c r="B238" s="313" t="s">
        <v>65</v>
      </c>
      <c r="C238" s="314">
        <v>211250</v>
      </c>
      <c r="D238" s="313" t="e">
        <f>VLOOKUP(A238,#REF!,4,FALSE)</f>
        <v>#REF!</v>
      </c>
      <c r="E238" s="315" t="e">
        <f t="shared" si="3"/>
        <v>#REF!</v>
      </c>
    </row>
    <row r="239" spans="1:5" x14ac:dyDescent="0.2">
      <c r="A239" s="313">
        <v>1345300938</v>
      </c>
      <c r="B239" s="313" t="s">
        <v>66</v>
      </c>
      <c r="C239" s="314">
        <v>23814</v>
      </c>
      <c r="D239" s="313" t="e">
        <f>VLOOKUP(A239,#REF!,4,FALSE)</f>
        <v>#REF!</v>
      </c>
      <c r="E239" s="315" t="e">
        <f t="shared" si="3"/>
        <v>#REF!</v>
      </c>
    </row>
    <row r="240" spans="1:5" x14ac:dyDescent="0.2">
      <c r="A240" s="313">
        <v>1346100930</v>
      </c>
      <c r="B240" s="313" t="s">
        <v>442</v>
      </c>
      <c r="C240" s="314">
        <v>130500</v>
      </c>
      <c r="D240" s="313" t="e">
        <f>VLOOKUP(A240,#REF!,4,FALSE)</f>
        <v>#REF!</v>
      </c>
      <c r="E240" s="315" t="e">
        <f t="shared" si="3"/>
        <v>#REF!</v>
      </c>
    </row>
    <row r="241" spans="1:5" x14ac:dyDescent="0.2">
      <c r="A241" s="313">
        <v>1346300931</v>
      </c>
      <c r="B241" s="313" t="s">
        <v>443</v>
      </c>
      <c r="C241" s="314">
        <v>47250</v>
      </c>
      <c r="D241" s="313" t="e">
        <f>VLOOKUP(A241,#REF!,4,FALSE)</f>
        <v>#REF!</v>
      </c>
      <c r="E241" s="315" t="e">
        <f t="shared" si="3"/>
        <v>#REF!</v>
      </c>
    </row>
    <row r="242" spans="1:5" x14ac:dyDescent="0.2">
      <c r="A242" s="313">
        <v>1346300933</v>
      </c>
      <c r="B242" s="313" t="s">
        <v>444</v>
      </c>
      <c r="C242" s="314">
        <v>9825</v>
      </c>
      <c r="D242" s="313" t="e">
        <f>VLOOKUP(A242,#REF!,4,FALSE)</f>
        <v>#REF!</v>
      </c>
      <c r="E242" s="315" t="e">
        <f t="shared" si="3"/>
        <v>#REF!</v>
      </c>
    </row>
    <row r="243" spans="1:5" x14ac:dyDescent="0.2">
      <c r="A243" s="313">
        <v>1346400930</v>
      </c>
      <c r="B243" s="313" t="s">
        <v>1415</v>
      </c>
      <c r="C243" s="314">
        <v>41742</v>
      </c>
      <c r="D243" s="313" t="e">
        <f>VLOOKUP(A243,#REF!,4,FALSE)</f>
        <v>#REF!</v>
      </c>
      <c r="E243" s="315" t="e">
        <f t="shared" si="3"/>
        <v>#REF!</v>
      </c>
    </row>
    <row r="244" spans="1:5" x14ac:dyDescent="0.2">
      <c r="A244" s="313">
        <v>1346400931</v>
      </c>
      <c r="B244" s="313" t="s">
        <v>445</v>
      </c>
      <c r="D244" s="313" t="e">
        <f>VLOOKUP(A244,#REF!,4,FALSE)</f>
        <v>#REF!</v>
      </c>
      <c r="E244" s="315" t="e">
        <f t="shared" si="3"/>
        <v>#REF!</v>
      </c>
    </row>
    <row r="245" spans="1:5" x14ac:dyDescent="0.2">
      <c r="A245" s="313">
        <v>1346500930</v>
      </c>
      <c r="B245" s="313" t="s">
        <v>446</v>
      </c>
      <c r="C245" s="314">
        <v>2949300</v>
      </c>
      <c r="D245" s="313" t="e">
        <f>VLOOKUP(A245,#REF!,4,FALSE)</f>
        <v>#REF!</v>
      </c>
      <c r="E245" s="315" t="e">
        <f t="shared" si="3"/>
        <v>#REF!</v>
      </c>
    </row>
    <row r="246" spans="1:5" x14ac:dyDescent="0.2">
      <c r="A246" s="313">
        <v>1346600930</v>
      </c>
      <c r="B246" s="313" t="s">
        <v>447</v>
      </c>
      <c r="C246" s="314">
        <v>51750</v>
      </c>
      <c r="D246" s="313" t="e">
        <f>VLOOKUP(A246,#REF!,4,FALSE)</f>
        <v>#REF!</v>
      </c>
      <c r="E246" s="315" t="e">
        <f t="shared" si="3"/>
        <v>#REF!</v>
      </c>
    </row>
    <row r="247" spans="1:5" x14ac:dyDescent="0.2">
      <c r="A247" s="313">
        <v>1346600931</v>
      </c>
      <c r="B247" s="313" t="s">
        <v>448</v>
      </c>
      <c r="C247" s="314">
        <v>122430</v>
      </c>
      <c r="D247" s="313" t="e">
        <f>VLOOKUP(A247,#REF!,4,FALSE)</f>
        <v>#REF!</v>
      </c>
      <c r="E247" s="315" t="e">
        <f t="shared" si="3"/>
        <v>#REF!</v>
      </c>
    </row>
    <row r="248" spans="1:5" x14ac:dyDescent="0.2">
      <c r="A248" s="313">
        <v>1346600933</v>
      </c>
      <c r="B248" s="313" t="s">
        <v>1479</v>
      </c>
      <c r="C248" s="314">
        <v>4500</v>
      </c>
      <c r="D248" s="313" t="e">
        <f>VLOOKUP(A248,#REF!,4,FALSE)</f>
        <v>#REF!</v>
      </c>
      <c r="E248" s="315" t="e">
        <f t="shared" si="3"/>
        <v>#REF!</v>
      </c>
    </row>
    <row r="249" spans="1:5" x14ac:dyDescent="0.2">
      <c r="A249" s="313">
        <v>1346700930</v>
      </c>
      <c r="B249" s="313" t="s">
        <v>449</v>
      </c>
      <c r="C249" s="314">
        <v>26250</v>
      </c>
      <c r="D249" s="313" t="e">
        <f>VLOOKUP(A249,#REF!,4,FALSE)</f>
        <v>#REF!</v>
      </c>
      <c r="E249" s="315" t="e">
        <f t="shared" si="3"/>
        <v>#REF!</v>
      </c>
    </row>
    <row r="250" spans="1:5" x14ac:dyDescent="0.2">
      <c r="A250" s="313">
        <v>1346700931</v>
      </c>
      <c r="B250" s="313" t="s">
        <v>1417</v>
      </c>
      <c r="C250" s="314">
        <v>9378</v>
      </c>
      <c r="D250" s="313" t="e">
        <f>VLOOKUP(A250,#REF!,4,FALSE)</f>
        <v>#REF!</v>
      </c>
      <c r="E250" s="315" t="e">
        <f t="shared" si="3"/>
        <v>#REF!</v>
      </c>
    </row>
    <row r="251" spans="1:5" x14ac:dyDescent="0.2">
      <c r="A251" s="313">
        <v>1346700933</v>
      </c>
      <c r="B251" s="313" t="s">
        <v>303</v>
      </c>
      <c r="C251" s="314">
        <v>243828</v>
      </c>
      <c r="D251" s="313" t="e">
        <f>VLOOKUP(A251,#REF!,4,FALSE)</f>
        <v>#REF!</v>
      </c>
      <c r="E251" s="315" t="e">
        <f t="shared" si="3"/>
        <v>#REF!</v>
      </c>
    </row>
    <row r="252" spans="1:5" x14ac:dyDescent="0.2">
      <c r="A252" s="313">
        <v>1346700934</v>
      </c>
      <c r="B252" s="313" t="s">
        <v>450</v>
      </c>
      <c r="C252" s="314">
        <v>240000</v>
      </c>
      <c r="D252" s="313" t="e">
        <f>VLOOKUP(A252,#REF!,4,FALSE)</f>
        <v>#REF!</v>
      </c>
      <c r="E252" s="315" t="e">
        <f t="shared" si="3"/>
        <v>#REF!</v>
      </c>
    </row>
    <row r="253" spans="1:5" x14ac:dyDescent="0.2">
      <c r="A253" s="313">
        <v>1346700935</v>
      </c>
      <c r="B253" s="313" t="s">
        <v>451</v>
      </c>
      <c r="C253" s="314">
        <v>30960</v>
      </c>
      <c r="D253" s="313" t="e">
        <f>VLOOKUP(A253,#REF!,4,FALSE)</f>
        <v>#REF!</v>
      </c>
      <c r="E253" s="315" t="e">
        <f t="shared" si="3"/>
        <v>#REF!</v>
      </c>
    </row>
    <row r="254" spans="1:5" x14ac:dyDescent="0.2">
      <c r="A254" s="313">
        <v>1346700936</v>
      </c>
      <c r="B254" s="313" t="s">
        <v>452</v>
      </c>
      <c r="C254" s="314">
        <v>3638</v>
      </c>
      <c r="D254" s="313" t="e">
        <f>VLOOKUP(A254,#REF!,4,FALSE)</f>
        <v>#REF!</v>
      </c>
      <c r="E254" s="315" t="e">
        <f t="shared" si="3"/>
        <v>#REF!</v>
      </c>
    </row>
    <row r="255" spans="1:5" x14ac:dyDescent="0.2">
      <c r="A255" s="313">
        <v>1346700938</v>
      </c>
      <c r="B255" s="313" t="s">
        <v>454</v>
      </c>
      <c r="C255" s="314">
        <v>71143</v>
      </c>
      <c r="D255" s="313" t="e">
        <f>VLOOKUP(A255,#REF!,4,FALSE)</f>
        <v>#REF!</v>
      </c>
      <c r="E255" s="315" t="e">
        <f t="shared" si="3"/>
        <v>#REF!</v>
      </c>
    </row>
    <row r="256" spans="1:5" x14ac:dyDescent="0.2">
      <c r="A256" s="313">
        <v>1346700939</v>
      </c>
      <c r="B256" s="313" t="s">
        <v>88</v>
      </c>
      <c r="C256" s="314">
        <v>28710</v>
      </c>
      <c r="D256" s="313" t="e">
        <f>VLOOKUP(A256,#REF!,4,FALSE)</f>
        <v>#REF!</v>
      </c>
      <c r="E256" s="315" t="e">
        <f t="shared" si="3"/>
        <v>#REF!</v>
      </c>
    </row>
    <row r="257" spans="1:5" x14ac:dyDescent="0.2">
      <c r="A257" s="313">
        <v>1346700950</v>
      </c>
      <c r="B257" s="313" t="s">
        <v>1595</v>
      </c>
      <c r="C257" s="314">
        <v>51255</v>
      </c>
      <c r="D257" s="313" t="e">
        <f>VLOOKUP(A257,#REF!,4,FALSE)</f>
        <v>#REF!</v>
      </c>
      <c r="E257" s="315" t="e">
        <f t="shared" si="3"/>
        <v>#REF!</v>
      </c>
    </row>
    <row r="258" spans="1:5" x14ac:dyDescent="0.2">
      <c r="A258" s="313">
        <v>1346800932</v>
      </c>
      <c r="B258" s="313" t="s">
        <v>455</v>
      </c>
      <c r="C258" s="314">
        <v>11790</v>
      </c>
      <c r="D258" s="313" t="e">
        <f>VLOOKUP(A258,#REF!,4,FALSE)</f>
        <v>#REF!</v>
      </c>
      <c r="E258" s="315" t="e">
        <f t="shared" si="3"/>
        <v>#REF!</v>
      </c>
    </row>
    <row r="259" spans="1:5" x14ac:dyDescent="0.2">
      <c r="A259" s="313">
        <v>1346800933</v>
      </c>
      <c r="B259" s="313" t="s">
        <v>456</v>
      </c>
      <c r="C259" s="314">
        <v>179316</v>
      </c>
      <c r="D259" s="313" t="e">
        <f>VLOOKUP(A259,#REF!,4,FALSE)</f>
        <v>#REF!</v>
      </c>
      <c r="E259" s="315" t="e">
        <f t="shared" si="3"/>
        <v>#REF!</v>
      </c>
    </row>
    <row r="260" spans="1:5" x14ac:dyDescent="0.2">
      <c r="A260" s="313">
        <v>1346800934</v>
      </c>
      <c r="B260" s="313" t="s">
        <v>457</v>
      </c>
      <c r="C260" s="314">
        <v>11250</v>
      </c>
      <c r="D260" s="313" t="e">
        <f>VLOOKUP(A260,#REF!,4,FALSE)</f>
        <v>#REF!</v>
      </c>
      <c r="E260" s="315" t="e">
        <f t="shared" si="3"/>
        <v>#REF!</v>
      </c>
    </row>
    <row r="261" spans="1:5" x14ac:dyDescent="0.2">
      <c r="A261" s="313">
        <v>1346800936</v>
      </c>
      <c r="B261" s="313" t="s">
        <v>459</v>
      </c>
      <c r="C261" s="314">
        <v>208458</v>
      </c>
      <c r="D261" s="313" t="e">
        <f>VLOOKUP(A261,#REF!,4,FALSE)</f>
        <v>#REF!</v>
      </c>
      <c r="E261" s="315" t="e">
        <f t="shared" si="3"/>
        <v>#REF!</v>
      </c>
    </row>
    <row r="262" spans="1:5" x14ac:dyDescent="0.2">
      <c r="A262" s="313">
        <v>1346800938</v>
      </c>
      <c r="B262" s="313" t="s">
        <v>1596</v>
      </c>
      <c r="D262" s="313" t="e">
        <f>VLOOKUP(A262,#REF!,4,FALSE)</f>
        <v>#REF!</v>
      </c>
      <c r="E262" s="315" t="e">
        <f t="shared" ref="E262:E325" si="4">C262-D262</f>
        <v>#REF!</v>
      </c>
    </row>
    <row r="263" spans="1:5" x14ac:dyDescent="0.2">
      <c r="A263" s="313">
        <v>1346800940</v>
      </c>
      <c r="B263" s="313" t="s">
        <v>67</v>
      </c>
      <c r="C263" s="314">
        <v>76200</v>
      </c>
      <c r="D263" s="313" t="e">
        <f>VLOOKUP(A263,#REF!,4,FALSE)</f>
        <v>#REF!</v>
      </c>
      <c r="E263" s="315" t="e">
        <f t="shared" si="4"/>
        <v>#REF!</v>
      </c>
    </row>
    <row r="264" spans="1:5" x14ac:dyDescent="0.2">
      <c r="A264" s="313">
        <v>1346800942</v>
      </c>
      <c r="B264" s="313" t="s">
        <v>1955</v>
      </c>
      <c r="D264" s="313" t="e">
        <f>VLOOKUP(A264,#REF!,4,FALSE)</f>
        <v>#REF!</v>
      </c>
      <c r="E264" s="315" t="e">
        <f t="shared" si="4"/>
        <v>#REF!</v>
      </c>
    </row>
    <row r="265" spans="1:5" x14ac:dyDescent="0.2">
      <c r="A265" s="313">
        <v>1347100931</v>
      </c>
      <c r="B265" s="313" t="s">
        <v>461</v>
      </c>
      <c r="C265" s="314">
        <v>257475</v>
      </c>
      <c r="D265" s="313" t="e">
        <f>VLOOKUP(A265,#REF!,4,FALSE)</f>
        <v>#REF!</v>
      </c>
      <c r="E265" s="315" t="e">
        <f t="shared" si="4"/>
        <v>#REF!</v>
      </c>
    </row>
    <row r="266" spans="1:5" x14ac:dyDescent="0.2">
      <c r="A266" s="313">
        <v>1347100932</v>
      </c>
      <c r="B266" s="313" t="s">
        <v>1198</v>
      </c>
      <c r="C266" s="314">
        <v>72000</v>
      </c>
      <c r="D266" s="313" t="e">
        <f>VLOOKUP(A266,#REF!,4,FALSE)</f>
        <v>#REF!</v>
      </c>
      <c r="E266" s="315" t="e">
        <f t="shared" si="4"/>
        <v>#REF!</v>
      </c>
    </row>
    <row r="267" spans="1:5" x14ac:dyDescent="0.2">
      <c r="A267" s="313">
        <v>1347100933</v>
      </c>
      <c r="B267" s="313" t="s">
        <v>462</v>
      </c>
      <c r="C267" s="314">
        <v>17250</v>
      </c>
      <c r="D267" s="313" t="e">
        <f>VLOOKUP(A267,#REF!,4,FALSE)</f>
        <v>#REF!</v>
      </c>
      <c r="E267" s="315" t="e">
        <f t="shared" si="4"/>
        <v>#REF!</v>
      </c>
    </row>
    <row r="268" spans="1:5" x14ac:dyDescent="0.2">
      <c r="A268" s="313">
        <v>1347100934</v>
      </c>
      <c r="B268" s="313" t="s">
        <v>463</v>
      </c>
      <c r="C268" s="314">
        <v>159975</v>
      </c>
      <c r="D268" s="313" t="e">
        <f>VLOOKUP(A268,#REF!,4,FALSE)</f>
        <v>#REF!</v>
      </c>
      <c r="E268" s="315" t="e">
        <f t="shared" si="4"/>
        <v>#REF!</v>
      </c>
    </row>
    <row r="269" spans="1:5" x14ac:dyDescent="0.2">
      <c r="A269" s="313">
        <v>1347100936</v>
      </c>
      <c r="B269" s="313" t="s">
        <v>50</v>
      </c>
      <c r="C269" s="314">
        <v>11313</v>
      </c>
      <c r="D269" s="313" t="e">
        <f>VLOOKUP(A269,#REF!,4,FALSE)</f>
        <v>#REF!</v>
      </c>
      <c r="E269" s="315" t="e">
        <f t="shared" si="4"/>
        <v>#REF!</v>
      </c>
    </row>
    <row r="270" spans="1:5" x14ac:dyDescent="0.2">
      <c r="A270" s="313">
        <v>1347100940</v>
      </c>
      <c r="B270" s="313" t="s">
        <v>69</v>
      </c>
      <c r="C270" s="314">
        <v>15000</v>
      </c>
      <c r="D270" s="313" t="e">
        <f>VLOOKUP(A270,#REF!,4,FALSE)</f>
        <v>#REF!</v>
      </c>
      <c r="E270" s="315" t="e">
        <f t="shared" si="4"/>
        <v>#REF!</v>
      </c>
    </row>
    <row r="271" spans="1:5" x14ac:dyDescent="0.2">
      <c r="A271" s="313">
        <v>1347100952</v>
      </c>
      <c r="B271" s="313" t="s">
        <v>1957</v>
      </c>
      <c r="D271" s="313" t="e">
        <f>VLOOKUP(A271,#REF!,4,FALSE)</f>
        <v>#REF!</v>
      </c>
      <c r="E271" s="315" t="e">
        <f t="shared" si="4"/>
        <v>#REF!</v>
      </c>
    </row>
    <row r="272" spans="1:5" x14ac:dyDescent="0.2">
      <c r="A272" s="313">
        <v>1347100953</v>
      </c>
      <c r="B272" s="313" t="s">
        <v>1958</v>
      </c>
      <c r="D272" s="313" t="e">
        <f>VLOOKUP(A272,#REF!,4,FALSE)</f>
        <v>#REF!</v>
      </c>
      <c r="E272" s="315" t="e">
        <f t="shared" si="4"/>
        <v>#REF!</v>
      </c>
    </row>
    <row r="273" spans="1:5" x14ac:dyDescent="0.2">
      <c r="A273" s="313">
        <v>1347100954</v>
      </c>
      <c r="B273" s="313" t="s">
        <v>1959</v>
      </c>
      <c r="D273" s="313" t="e">
        <f>VLOOKUP(A273,#REF!,4,FALSE)</f>
        <v>#REF!</v>
      </c>
      <c r="E273" s="315" t="e">
        <f t="shared" si="4"/>
        <v>#REF!</v>
      </c>
    </row>
    <row r="274" spans="1:5" x14ac:dyDescent="0.2">
      <c r="A274" s="313">
        <v>1347300930</v>
      </c>
      <c r="B274" s="313" t="s">
        <v>466</v>
      </c>
      <c r="C274" s="314">
        <v>4500</v>
      </c>
      <c r="D274" s="313" t="e">
        <f>VLOOKUP(A274,#REF!,4,FALSE)</f>
        <v>#REF!</v>
      </c>
      <c r="E274" s="315" t="e">
        <f t="shared" si="4"/>
        <v>#REF!</v>
      </c>
    </row>
    <row r="275" spans="1:5" x14ac:dyDescent="0.2">
      <c r="A275" s="313">
        <v>1347300936</v>
      </c>
      <c r="B275" s="313" t="s">
        <v>1425</v>
      </c>
      <c r="C275" s="314">
        <v>93525</v>
      </c>
      <c r="D275" s="313" t="e">
        <f>VLOOKUP(A275,#REF!,4,FALSE)</f>
        <v>#REF!</v>
      </c>
      <c r="E275" s="315" t="e">
        <f t="shared" si="4"/>
        <v>#REF!</v>
      </c>
    </row>
    <row r="276" spans="1:5" x14ac:dyDescent="0.2">
      <c r="A276" s="313">
        <v>1347300937</v>
      </c>
      <c r="B276" s="313" t="s">
        <v>96</v>
      </c>
      <c r="D276" s="313" t="e">
        <f>VLOOKUP(A276,#REF!,4,FALSE)</f>
        <v>#REF!</v>
      </c>
      <c r="E276" s="315" t="e">
        <f t="shared" si="4"/>
        <v>#REF!</v>
      </c>
    </row>
    <row r="277" spans="1:5" x14ac:dyDescent="0.2">
      <c r="A277" s="313">
        <v>1347300938</v>
      </c>
      <c r="B277" s="313" t="s">
        <v>1478</v>
      </c>
      <c r="D277" s="313" t="e">
        <f>VLOOKUP(A277,#REF!,4,FALSE)</f>
        <v>#REF!</v>
      </c>
      <c r="E277" s="315" t="e">
        <f t="shared" si="4"/>
        <v>#REF!</v>
      </c>
    </row>
    <row r="278" spans="1:5" x14ac:dyDescent="0.2">
      <c r="A278" s="313">
        <v>1347400931</v>
      </c>
      <c r="B278" s="313" t="s">
        <v>470</v>
      </c>
      <c r="C278" s="314">
        <v>289545</v>
      </c>
      <c r="D278" s="313" t="e">
        <f>VLOOKUP(A278,#REF!,4,FALSE)</f>
        <v>#REF!</v>
      </c>
      <c r="E278" s="315" t="e">
        <f t="shared" si="4"/>
        <v>#REF!</v>
      </c>
    </row>
    <row r="279" spans="1:5" x14ac:dyDescent="0.2">
      <c r="A279" s="313">
        <v>1347400933</v>
      </c>
      <c r="B279" s="313" t="s">
        <v>471</v>
      </c>
      <c r="C279" s="314">
        <v>44592</v>
      </c>
      <c r="D279" s="313" t="e">
        <f>VLOOKUP(A279,#REF!,4,FALSE)</f>
        <v>#REF!</v>
      </c>
      <c r="E279" s="315" t="e">
        <f t="shared" si="4"/>
        <v>#REF!</v>
      </c>
    </row>
    <row r="280" spans="1:5" x14ac:dyDescent="0.2">
      <c r="A280" s="313">
        <v>1348200931</v>
      </c>
      <c r="B280" s="313" t="s">
        <v>474</v>
      </c>
      <c r="C280" s="314">
        <v>18750</v>
      </c>
      <c r="D280" s="313" t="e">
        <f>VLOOKUP(A280,#REF!,4,FALSE)</f>
        <v>#REF!</v>
      </c>
      <c r="E280" s="315" t="e">
        <f t="shared" si="4"/>
        <v>#REF!</v>
      </c>
    </row>
    <row r="281" spans="1:5" x14ac:dyDescent="0.2">
      <c r="A281" s="313">
        <v>1348200936</v>
      </c>
      <c r="B281" s="313" t="s">
        <v>1431</v>
      </c>
      <c r="D281" s="313" t="e">
        <f>VLOOKUP(A281,#REF!,4,FALSE)</f>
        <v>#REF!</v>
      </c>
      <c r="E281" s="315" t="e">
        <f t="shared" si="4"/>
        <v>#REF!</v>
      </c>
    </row>
    <row r="282" spans="1:5" x14ac:dyDescent="0.2">
      <c r="A282" s="313">
        <v>1348200937</v>
      </c>
      <c r="B282" s="313" t="s">
        <v>1365</v>
      </c>
      <c r="C282" s="314">
        <v>8250</v>
      </c>
      <c r="D282" s="313" t="e">
        <f>VLOOKUP(A282,#REF!,4,FALSE)</f>
        <v>#REF!</v>
      </c>
      <c r="E282" s="315" t="e">
        <f t="shared" si="4"/>
        <v>#REF!</v>
      </c>
    </row>
    <row r="283" spans="1:5" x14ac:dyDescent="0.2">
      <c r="A283" s="313">
        <v>1348200938</v>
      </c>
      <c r="B283" s="313" t="s">
        <v>1731</v>
      </c>
      <c r="D283" s="313" t="e">
        <f>VLOOKUP(A283,#REF!,4,FALSE)</f>
        <v>#REF!</v>
      </c>
      <c r="E283" s="315" t="e">
        <f t="shared" si="4"/>
        <v>#REF!</v>
      </c>
    </row>
    <row r="284" spans="1:5" x14ac:dyDescent="0.2">
      <c r="A284" s="313">
        <v>1348300930</v>
      </c>
      <c r="B284" s="313" t="s">
        <v>475</v>
      </c>
      <c r="C284" s="314">
        <v>6000</v>
      </c>
      <c r="D284" s="313" t="e">
        <f>VLOOKUP(A284,#REF!,4,FALSE)</f>
        <v>#REF!</v>
      </c>
      <c r="E284" s="315" t="e">
        <f t="shared" si="4"/>
        <v>#REF!</v>
      </c>
    </row>
    <row r="285" spans="1:5" x14ac:dyDescent="0.2">
      <c r="A285" s="313">
        <v>1348400930</v>
      </c>
      <c r="B285" s="313" t="s">
        <v>476</v>
      </c>
      <c r="C285" s="314">
        <v>1905</v>
      </c>
      <c r="D285" s="313" t="e">
        <f>VLOOKUP(A285,#REF!,4,FALSE)</f>
        <v>#REF!</v>
      </c>
      <c r="E285" s="315" t="e">
        <f t="shared" si="4"/>
        <v>#REF!</v>
      </c>
    </row>
    <row r="286" spans="1:5" x14ac:dyDescent="0.2">
      <c r="A286" s="313">
        <v>1348500932</v>
      </c>
      <c r="B286" s="313" t="s">
        <v>477</v>
      </c>
      <c r="C286" s="314">
        <v>27000</v>
      </c>
      <c r="D286" s="313" t="e">
        <f>VLOOKUP(A286,#REF!,4,FALSE)</f>
        <v>#REF!</v>
      </c>
      <c r="E286" s="315" t="e">
        <f t="shared" si="4"/>
        <v>#REF!</v>
      </c>
    </row>
    <row r="287" spans="1:5" x14ac:dyDescent="0.2">
      <c r="A287" s="313">
        <v>1349000930</v>
      </c>
      <c r="B287" s="313" t="s">
        <v>478</v>
      </c>
      <c r="C287" s="314">
        <v>13151</v>
      </c>
      <c r="D287" s="313" t="e">
        <f>VLOOKUP(A287,#REF!,4,FALSE)</f>
        <v>#REF!</v>
      </c>
      <c r="E287" s="315" t="e">
        <f t="shared" si="4"/>
        <v>#REF!</v>
      </c>
    </row>
    <row r="288" spans="1:5" x14ac:dyDescent="0.2">
      <c r="A288" s="313">
        <v>1349000932</v>
      </c>
      <c r="B288" s="313" t="s">
        <v>480</v>
      </c>
      <c r="C288" s="314">
        <v>23958</v>
      </c>
      <c r="D288" s="313" t="e">
        <f>VLOOKUP(A288,#REF!,4,FALSE)</f>
        <v>#REF!</v>
      </c>
      <c r="E288" s="315" t="e">
        <f t="shared" si="4"/>
        <v>#REF!</v>
      </c>
    </row>
    <row r="289" spans="1:5" x14ac:dyDescent="0.2">
      <c r="A289" s="313">
        <v>1349000934</v>
      </c>
      <c r="B289" s="313" t="s">
        <v>482</v>
      </c>
      <c r="C289" s="314">
        <v>78615</v>
      </c>
      <c r="D289" s="313" t="e">
        <f>VLOOKUP(A289,#REF!,4,FALSE)</f>
        <v>#REF!</v>
      </c>
      <c r="E289" s="315" t="e">
        <f t="shared" si="4"/>
        <v>#REF!</v>
      </c>
    </row>
    <row r="290" spans="1:5" x14ac:dyDescent="0.2">
      <c r="A290" s="313">
        <v>1349000935</v>
      </c>
      <c r="B290" s="313" t="s">
        <v>483</v>
      </c>
      <c r="C290" s="314">
        <v>66474</v>
      </c>
      <c r="D290" s="313" t="e">
        <f>VLOOKUP(A290,#REF!,4,FALSE)</f>
        <v>#REF!</v>
      </c>
      <c r="E290" s="315" t="e">
        <f t="shared" si="4"/>
        <v>#REF!</v>
      </c>
    </row>
    <row r="291" spans="1:5" x14ac:dyDescent="0.2">
      <c r="A291" s="313">
        <v>1349000938</v>
      </c>
      <c r="B291" s="313" t="s">
        <v>484</v>
      </c>
      <c r="C291" s="314">
        <v>37200</v>
      </c>
      <c r="D291" s="313" t="e">
        <f>VLOOKUP(A291,#REF!,4,FALSE)</f>
        <v>#REF!</v>
      </c>
      <c r="E291" s="315" t="e">
        <f t="shared" si="4"/>
        <v>#REF!</v>
      </c>
    </row>
    <row r="292" spans="1:5" x14ac:dyDescent="0.2">
      <c r="A292" s="313">
        <v>1349000941</v>
      </c>
      <c r="B292" s="313" t="s">
        <v>70</v>
      </c>
      <c r="C292" s="314">
        <v>126000</v>
      </c>
      <c r="D292" s="313" t="e">
        <f>VLOOKUP(A292,#REF!,4,FALSE)</f>
        <v>#REF!</v>
      </c>
      <c r="E292" s="315" t="e">
        <f t="shared" si="4"/>
        <v>#REF!</v>
      </c>
    </row>
    <row r="293" spans="1:5" x14ac:dyDescent="0.2">
      <c r="A293" s="313">
        <v>1349001931</v>
      </c>
      <c r="B293" s="313" t="s">
        <v>1366</v>
      </c>
      <c r="C293" s="314">
        <v>150000</v>
      </c>
      <c r="D293" s="313" t="e">
        <f>VLOOKUP(A293,#REF!,4,FALSE)</f>
        <v>#REF!</v>
      </c>
      <c r="E293" s="315" t="e">
        <f t="shared" si="4"/>
        <v>#REF!</v>
      </c>
    </row>
    <row r="294" spans="1:5" x14ac:dyDescent="0.2">
      <c r="A294" s="313">
        <v>1349001937</v>
      </c>
      <c r="B294" s="313" t="s">
        <v>486</v>
      </c>
      <c r="C294" s="314">
        <v>11122</v>
      </c>
      <c r="D294" s="313" t="e">
        <f>VLOOKUP(A294,#REF!,4,FALSE)</f>
        <v>#REF!</v>
      </c>
      <c r="E294" s="315" t="e">
        <f t="shared" si="4"/>
        <v>#REF!</v>
      </c>
    </row>
    <row r="295" spans="1:5" x14ac:dyDescent="0.2">
      <c r="A295" s="313">
        <v>1349001939</v>
      </c>
      <c r="B295" s="313" t="s">
        <v>487</v>
      </c>
      <c r="C295" s="314">
        <v>15756</v>
      </c>
      <c r="D295" s="313" t="e">
        <f>VLOOKUP(A295,#REF!,4,FALSE)</f>
        <v>#REF!</v>
      </c>
      <c r="E295" s="315" t="e">
        <f t="shared" si="4"/>
        <v>#REF!</v>
      </c>
    </row>
    <row r="296" spans="1:5" x14ac:dyDescent="0.2">
      <c r="A296" s="313">
        <v>1349002939</v>
      </c>
      <c r="B296" s="313" t="s">
        <v>488</v>
      </c>
      <c r="D296" s="313" t="e">
        <f>VLOOKUP(A296,#REF!,4,FALSE)</f>
        <v>#REF!</v>
      </c>
      <c r="E296" s="315" t="e">
        <f t="shared" si="4"/>
        <v>#REF!</v>
      </c>
    </row>
    <row r="297" spans="1:5" x14ac:dyDescent="0.2">
      <c r="A297" s="313">
        <v>1349300931</v>
      </c>
      <c r="B297" s="313" t="s">
        <v>1598</v>
      </c>
      <c r="D297" s="313" t="e">
        <f>VLOOKUP(A297,#REF!,4,FALSE)</f>
        <v>#REF!</v>
      </c>
      <c r="E297" s="315" t="e">
        <f t="shared" si="4"/>
        <v>#REF!</v>
      </c>
    </row>
    <row r="298" spans="1:5" x14ac:dyDescent="0.2">
      <c r="A298" s="313" t="s">
        <v>277</v>
      </c>
      <c r="B298" s="313" t="s">
        <v>400</v>
      </c>
      <c r="C298" s="314">
        <v>41603505</v>
      </c>
      <c r="D298" s="313" t="e">
        <f>VLOOKUP(A298,#REF!,4,FALSE)</f>
        <v>#REF!</v>
      </c>
      <c r="E298" s="315" t="e">
        <f t="shared" si="4"/>
        <v>#REF!</v>
      </c>
    </row>
    <row r="299" spans="1:5" x14ac:dyDescent="0.2">
      <c r="A299" s="313" t="s">
        <v>489</v>
      </c>
      <c r="B299" s="313" t="s">
        <v>490</v>
      </c>
      <c r="D299" s="313" t="e">
        <f>VLOOKUP(A299,#REF!,4,FALSE)</f>
        <v>#REF!</v>
      </c>
      <c r="E299" s="315" t="e">
        <f t="shared" si="4"/>
        <v>#REF!</v>
      </c>
    </row>
    <row r="300" spans="1:5" x14ac:dyDescent="0.2">
      <c r="A300" s="313">
        <v>1214200960</v>
      </c>
      <c r="B300" s="313" t="s">
        <v>491</v>
      </c>
      <c r="C300" s="314">
        <v>200000</v>
      </c>
      <c r="D300" s="313" t="e">
        <f>VLOOKUP(A300,#REF!,4,FALSE)</f>
        <v>#REF!</v>
      </c>
      <c r="E300" s="315" t="e">
        <f t="shared" si="4"/>
        <v>#REF!</v>
      </c>
    </row>
    <row r="301" spans="1:5" x14ac:dyDescent="0.2">
      <c r="A301" s="313">
        <v>1222000970</v>
      </c>
      <c r="B301" s="313" t="s">
        <v>1929</v>
      </c>
      <c r="C301" s="314">
        <v>105562</v>
      </c>
      <c r="D301" s="313" t="e">
        <f>VLOOKUP(A301,#REF!,4,FALSE)</f>
        <v>#REF!</v>
      </c>
      <c r="E301" s="315" t="e">
        <f t="shared" si="4"/>
        <v>#REF!</v>
      </c>
    </row>
    <row r="302" spans="1:5" x14ac:dyDescent="0.2">
      <c r="A302" s="313">
        <v>1222100910</v>
      </c>
      <c r="B302" s="313" t="s">
        <v>492</v>
      </c>
      <c r="C302" s="314">
        <v>10000</v>
      </c>
      <c r="D302" s="313" t="e">
        <f>VLOOKUP(A302,#REF!,4,FALSE)</f>
        <v>#REF!</v>
      </c>
      <c r="E302" s="315" t="e">
        <f t="shared" si="4"/>
        <v>#REF!</v>
      </c>
    </row>
    <row r="303" spans="1:5" x14ac:dyDescent="0.2">
      <c r="A303" s="313">
        <v>1322000920</v>
      </c>
      <c r="B303" s="313" t="s">
        <v>494</v>
      </c>
      <c r="C303" s="314">
        <v>1807993</v>
      </c>
      <c r="D303" s="313" t="e">
        <f>VLOOKUP(A303,#REF!,4,FALSE)</f>
        <v>#REF!</v>
      </c>
      <c r="E303" s="315" t="e">
        <f t="shared" si="4"/>
        <v>#REF!</v>
      </c>
    </row>
    <row r="304" spans="1:5" x14ac:dyDescent="0.2">
      <c r="A304" s="313">
        <v>1325200920</v>
      </c>
      <c r="B304" s="313" t="s">
        <v>496</v>
      </c>
      <c r="C304" s="314">
        <v>750156</v>
      </c>
      <c r="D304" s="313" t="e">
        <f>VLOOKUP(A304,#REF!,4,FALSE)</f>
        <v>#REF!</v>
      </c>
      <c r="E304" s="315" t="e">
        <f t="shared" si="4"/>
        <v>#REF!</v>
      </c>
    </row>
    <row r="305" spans="1:5" x14ac:dyDescent="0.2">
      <c r="A305" s="313">
        <v>1329300920</v>
      </c>
      <c r="B305" s="313" t="s">
        <v>497</v>
      </c>
      <c r="C305" s="314">
        <v>104000</v>
      </c>
      <c r="D305" s="313" t="e">
        <f>VLOOKUP(A305,#REF!,4,FALSE)</f>
        <v>#REF!</v>
      </c>
      <c r="E305" s="315" t="e">
        <f t="shared" si="4"/>
        <v>#REF!</v>
      </c>
    </row>
    <row r="306" spans="1:5" x14ac:dyDescent="0.2">
      <c r="A306" s="313">
        <v>1599000980</v>
      </c>
      <c r="B306" s="313" t="s">
        <v>1214</v>
      </c>
      <c r="D306" s="313" t="e">
        <f>VLOOKUP(A306,#REF!,4,FALSE)</f>
        <v>#REF!</v>
      </c>
      <c r="E306" s="315" t="e">
        <f t="shared" si="4"/>
        <v>#REF!</v>
      </c>
    </row>
    <row r="307" spans="1:5" x14ac:dyDescent="0.2">
      <c r="A307" s="313" t="s">
        <v>277</v>
      </c>
      <c r="B307" s="313" t="s">
        <v>490</v>
      </c>
      <c r="C307" s="314">
        <v>2977711</v>
      </c>
      <c r="D307" s="313" t="e">
        <f>VLOOKUP(A307,#REF!,4,FALSE)</f>
        <v>#REF!</v>
      </c>
      <c r="E307" s="315" t="e">
        <f t="shared" si="4"/>
        <v>#REF!</v>
      </c>
    </row>
    <row r="308" spans="1:5" x14ac:dyDescent="0.2">
      <c r="A308" s="313" t="s">
        <v>498</v>
      </c>
      <c r="B308" s="313" t="s">
        <v>499</v>
      </c>
      <c r="D308" s="313" t="e">
        <f>VLOOKUP(A308,#REF!,4,FALSE)</f>
        <v>#REF!</v>
      </c>
      <c r="E308" s="315" t="e">
        <f t="shared" si="4"/>
        <v>#REF!</v>
      </c>
    </row>
    <row r="309" spans="1:5" x14ac:dyDescent="0.2">
      <c r="A309" s="313">
        <v>1191000910</v>
      </c>
      <c r="B309" s="313" t="s">
        <v>500</v>
      </c>
      <c r="C309" s="314">
        <v>50630000</v>
      </c>
      <c r="D309" s="313" t="e">
        <f>VLOOKUP(A309,#REF!,4,FALSE)</f>
        <v>#REF!</v>
      </c>
      <c r="E309" s="315" t="e">
        <f t="shared" si="4"/>
        <v>#REF!</v>
      </c>
    </row>
    <row r="310" spans="1:5" x14ac:dyDescent="0.2">
      <c r="A310" s="313">
        <v>1192000910</v>
      </c>
      <c r="B310" s="313" t="s">
        <v>501</v>
      </c>
      <c r="C310" s="314">
        <v>5453665</v>
      </c>
      <c r="D310" s="313" t="e">
        <f>VLOOKUP(A310,#REF!,4,FALSE)</f>
        <v>#REF!</v>
      </c>
      <c r="E310" s="315" t="e">
        <f t="shared" si="4"/>
        <v>#REF!</v>
      </c>
    </row>
    <row r="311" spans="1:5" x14ac:dyDescent="0.2">
      <c r="A311" s="313" t="s">
        <v>277</v>
      </c>
      <c r="B311" s="313" t="s">
        <v>499</v>
      </c>
      <c r="C311" s="314">
        <v>56083665</v>
      </c>
      <c r="D311" s="313" t="e">
        <f>VLOOKUP(A311,#REF!,4,FALSE)</f>
        <v>#REF!</v>
      </c>
      <c r="E311" s="315" t="e">
        <f t="shared" si="4"/>
        <v>#REF!</v>
      </c>
    </row>
    <row r="312" spans="1:5" x14ac:dyDescent="0.2">
      <c r="A312" s="313" t="s">
        <v>277</v>
      </c>
      <c r="B312" s="313" t="s">
        <v>1448</v>
      </c>
      <c r="C312" s="314">
        <v>152533540</v>
      </c>
      <c r="D312" s="313" t="e">
        <f>VLOOKUP(A312,#REF!,4,FALSE)</f>
        <v>#REF!</v>
      </c>
      <c r="E312" s="315" t="e">
        <f t="shared" si="4"/>
        <v>#REF!</v>
      </c>
    </row>
    <row r="313" spans="1:5" x14ac:dyDescent="0.2">
      <c r="A313" s="313" t="s">
        <v>1449</v>
      </c>
      <c r="B313" s="313" t="s">
        <v>502</v>
      </c>
      <c r="D313" s="313" t="e">
        <f>VLOOKUP(A313,#REF!,4,FALSE)</f>
        <v>#REF!</v>
      </c>
      <c r="E313" s="315" t="e">
        <f t="shared" si="4"/>
        <v>#REF!</v>
      </c>
    </row>
    <row r="314" spans="1:5" x14ac:dyDescent="0.2">
      <c r="A314" s="313">
        <v>1594000590</v>
      </c>
      <c r="B314" s="313" t="s">
        <v>1212</v>
      </c>
      <c r="C314" s="314">
        <v>900000</v>
      </c>
      <c r="D314" s="313" t="e">
        <f>VLOOKUP(A314,#REF!,4,FALSE)</f>
        <v>#REF!</v>
      </c>
      <c r="E314" s="315" t="e">
        <f t="shared" si="4"/>
        <v>#REF!</v>
      </c>
    </row>
    <row r="315" spans="1:5" x14ac:dyDescent="0.2">
      <c r="A315" s="313">
        <v>1594100590</v>
      </c>
      <c r="B315" s="313" t="s">
        <v>1213</v>
      </c>
      <c r="C315" s="314">
        <v>2550000</v>
      </c>
      <c r="D315" s="313" t="e">
        <f>VLOOKUP(A315,#REF!,4,FALSE)</f>
        <v>#REF!</v>
      </c>
      <c r="E315" s="315" t="e">
        <f t="shared" si="4"/>
        <v>#REF!</v>
      </c>
    </row>
    <row r="316" spans="1:5" x14ac:dyDescent="0.2">
      <c r="A316" s="313" t="s">
        <v>277</v>
      </c>
      <c r="B316" s="313" t="s">
        <v>502</v>
      </c>
      <c r="C316" s="314">
        <v>3450000</v>
      </c>
      <c r="D316" s="313" t="e">
        <f>VLOOKUP(A316,#REF!,4,FALSE)</f>
        <v>#REF!</v>
      </c>
      <c r="E316" s="315" t="e">
        <f t="shared" si="4"/>
        <v>#REF!</v>
      </c>
    </row>
    <row r="317" spans="1:5" x14ac:dyDescent="0.2">
      <c r="A317" s="313" t="s">
        <v>277</v>
      </c>
      <c r="B317" s="313" t="s">
        <v>271</v>
      </c>
      <c r="C317" s="314">
        <v>367861484</v>
      </c>
      <c r="D317" s="313" t="e">
        <f>VLOOKUP(A317,#REF!,4,FALSE)</f>
        <v>#REF!</v>
      </c>
      <c r="E317" s="315" t="e">
        <f t="shared" si="4"/>
        <v>#REF!</v>
      </c>
    </row>
    <row r="318" spans="1:5" x14ac:dyDescent="0.2">
      <c r="A318" s="313" t="s">
        <v>503</v>
      </c>
      <c r="B318" s="313" t="s">
        <v>504</v>
      </c>
      <c r="D318" s="313" t="e">
        <f>VLOOKUP(A318,#REF!,4,FALSE)</f>
        <v>#REF!</v>
      </c>
      <c r="E318" s="315" t="e">
        <f t="shared" si="4"/>
        <v>#REF!</v>
      </c>
    </row>
    <row r="319" spans="1:5" x14ac:dyDescent="0.2">
      <c r="A319" s="313">
        <v>1113000290</v>
      </c>
      <c r="B319" s="313" t="s">
        <v>505</v>
      </c>
      <c r="C319" s="314">
        <v>21000000</v>
      </c>
      <c r="D319" s="313" t="e">
        <f>VLOOKUP(A319,#REF!,4,FALSE)</f>
        <v>#REF!</v>
      </c>
      <c r="E319" s="315" t="e">
        <f t="shared" si="4"/>
        <v>#REF!</v>
      </c>
    </row>
    <row r="320" spans="1:5" x14ac:dyDescent="0.2">
      <c r="A320" s="313" t="s">
        <v>277</v>
      </c>
      <c r="B320" s="313" t="s">
        <v>504</v>
      </c>
      <c r="C320" s="314">
        <v>21000000</v>
      </c>
      <c r="D320" s="313" t="e">
        <f>VLOOKUP(A320,#REF!,4,FALSE)</f>
        <v>#REF!</v>
      </c>
      <c r="E320" s="315" t="e">
        <f t="shared" si="4"/>
        <v>#REF!</v>
      </c>
    </row>
    <row r="321" spans="1:5" x14ac:dyDescent="0.2">
      <c r="A321" s="313" t="s">
        <v>277</v>
      </c>
      <c r="B321" s="313" t="s">
        <v>269</v>
      </c>
      <c r="C321" s="314">
        <v>388861484</v>
      </c>
      <c r="D321" s="313" t="e">
        <f>VLOOKUP(A321,#REF!,4,FALSE)</f>
        <v>#REF!</v>
      </c>
      <c r="E321" s="315" t="e">
        <f t="shared" si="4"/>
        <v>#REF!</v>
      </c>
    </row>
    <row r="322" spans="1:5" x14ac:dyDescent="0.2">
      <c r="A322" s="313" t="s">
        <v>268</v>
      </c>
      <c r="B322" s="313" t="s">
        <v>506</v>
      </c>
      <c r="D322" s="313" t="e">
        <f>VLOOKUP(A322,#REF!,4,FALSE)</f>
        <v>#REF!</v>
      </c>
      <c r="E322" s="315" t="e">
        <f t="shared" si="4"/>
        <v>#REF!</v>
      </c>
    </row>
    <row r="323" spans="1:5" x14ac:dyDescent="0.2">
      <c r="A323" s="313" t="s">
        <v>270</v>
      </c>
      <c r="B323" s="313" t="s">
        <v>507</v>
      </c>
      <c r="D323" s="313" t="e">
        <f>VLOOKUP(A323,#REF!,4,FALSE)</f>
        <v>#REF!</v>
      </c>
      <c r="E323" s="315" t="e">
        <f t="shared" si="4"/>
        <v>#REF!</v>
      </c>
    </row>
    <row r="324" spans="1:5" x14ac:dyDescent="0.2">
      <c r="A324" s="313" t="s">
        <v>281</v>
      </c>
      <c r="B324" s="313" t="s">
        <v>508</v>
      </c>
      <c r="D324" s="313" t="e">
        <f>VLOOKUP(A324,#REF!,4,FALSE)</f>
        <v>#REF!</v>
      </c>
      <c r="E324" s="315" t="e">
        <f t="shared" si="4"/>
        <v>#REF!</v>
      </c>
    </row>
    <row r="325" spans="1:5" x14ac:dyDescent="0.2">
      <c r="A325" s="313" t="s">
        <v>509</v>
      </c>
      <c r="B325" s="313" t="s">
        <v>510</v>
      </c>
      <c r="D325" s="313" t="e">
        <f>VLOOKUP(A325,#REF!,4,FALSE)</f>
        <v>#REF!</v>
      </c>
      <c r="E325" s="315" t="e">
        <f t="shared" si="4"/>
        <v>#REF!</v>
      </c>
    </row>
    <row r="326" spans="1:5" x14ac:dyDescent="0.2">
      <c r="A326" s="313">
        <v>1611000110</v>
      </c>
      <c r="B326" s="313" t="s">
        <v>511</v>
      </c>
      <c r="C326" s="314">
        <v>2380613</v>
      </c>
      <c r="D326" s="313" t="e">
        <f>VLOOKUP(A326,#REF!,4,FALSE)</f>
        <v>#REF!</v>
      </c>
      <c r="E326" s="315" t="e">
        <f t="shared" ref="E326:E389" si="5">C326-D326</f>
        <v>#REF!</v>
      </c>
    </row>
    <row r="327" spans="1:5" x14ac:dyDescent="0.2">
      <c r="A327" s="313">
        <v>1611000210</v>
      </c>
      <c r="B327" s="313" t="s">
        <v>246</v>
      </c>
      <c r="C327" s="314">
        <v>28001</v>
      </c>
      <c r="D327" s="313" t="e">
        <f>VLOOKUP(A327,#REF!,4,FALSE)</f>
        <v>#REF!</v>
      </c>
      <c r="E327" s="315" t="e">
        <f t="shared" si="5"/>
        <v>#REF!</v>
      </c>
    </row>
    <row r="328" spans="1:5" x14ac:dyDescent="0.2">
      <c r="A328" s="313">
        <v>1611100110</v>
      </c>
      <c r="B328" s="313" t="s">
        <v>512</v>
      </c>
      <c r="C328" s="314">
        <v>1956547</v>
      </c>
      <c r="D328" s="313" t="e">
        <f>VLOOKUP(A328,#REF!,4,FALSE)</f>
        <v>#REF!</v>
      </c>
      <c r="E328" s="315" t="e">
        <f t="shared" si="5"/>
        <v>#REF!</v>
      </c>
    </row>
    <row r="329" spans="1:5" x14ac:dyDescent="0.2">
      <c r="A329" s="313">
        <v>1612000110</v>
      </c>
      <c r="B329" s="313" t="s">
        <v>513</v>
      </c>
      <c r="C329" s="314">
        <v>427000</v>
      </c>
      <c r="D329" s="313" t="e">
        <f>VLOOKUP(A329,#REF!,4,FALSE)</f>
        <v>#REF!</v>
      </c>
      <c r="E329" s="315" t="e">
        <f t="shared" si="5"/>
        <v>#REF!</v>
      </c>
    </row>
    <row r="330" spans="1:5" x14ac:dyDescent="0.2">
      <c r="A330" s="313">
        <v>1613000110</v>
      </c>
      <c r="B330" s="313" t="s">
        <v>514</v>
      </c>
      <c r="C330" s="314">
        <v>1271065</v>
      </c>
      <c r="D330" s="313" t="e">
        <f>VLOOKUP(A330,#REF!,4,FALSE)</f>
        <v>#REF!</v>
      </c>
      <c r="E330" s="315" t="e">
        <f t="shared" si="5"/>
        <v>#REF!</v>
      </c>
    </row>
    <row r="331" spans="1:5" x14ac:dyDescent="0.2">
      <c r="A331" s="313">
        <v>1614000110</v>
      </c>
      <c r="B331" s="313" t="s">
        <v>515</v>
      </c>
      <c r="C331" s="314">
        <v>703084</v>
      </c>
      <c r="D331" s="313" t="e">
        <f>VLOOKUP(A331,#REF!,4,FALSE)</f>
        <v>#REF!</v>
      </c>
      <c r="E331" s="315" t="e">
        <f t="shared" si="5"/>
        <v>#REF!</v>
      </c>
    </row>
    <row r="332" spans="1:5" x14ac:dyDescent="0.2">
      <c r="A332" s="313">
        <v>1615000110</v>
      </c>
      <c r="B332" s="313" t="s">
        <v>516</v>
      </c>
      <c r="C332" s="314">
        <v>933397</v>
      </c>
      <c r="D332" s="313" t="e">
        <f>VLOOKUP(A332,#REF!,4,FALSE)</f>
        <v>#REF!</v>
      </c>
      <c r="E332" s="315" t="e">
        <f t="shared" si="5"/>
        <v>#REF!</v>
      </c>
    </row>
    <row r="333" spans="1:5" x14ac:dyDescent="0.2">
      <c r="A333" s="313">
        <v>1617000110</v>
      </c>
      <c r="B333" s="313" t="s">
        <v>517</v>
      </c>
      <c r="C333" s="314">
        <v>2181470</v>
      </c>
      <c r="D333" s="313" t="e">
        <f>VLOOKUP(A333,#REF!,4,FALSE)</f>
        <v>#REF!</v>
      </c>
      <c r="E333" s="315" t="e">
        <f t="shared" si="5"/>
        <v>#REF!</v>
      </c>
    </row>
    <row r="334" spans="1:5" x14ac:dyDescent="0.2">
      <c r="A334" s="313">
        <v>1617000210</v>
      </c>
      <c r="B334" s="313" t="s">
        <v>247</v>
      </c>
      <c r="D334" s="313" t="e">
        <f>VLOOKUP(A334,#REF!,4,FALSE)</f>
        <v>#REF!</v>
      </c>
      <c r="E334" s="315" t="e">
        <f t="shared" si="5"/>
        <v>#REF!</v>
      </c>
    </row>
    <row r="335" spans="1:5" x14ac:dyDescent="0.2">
      <c r="A335" s="313">
        <v>1619000110</v>
      </c>
      <c r="B335" s="313" t="s">
        <v>23</v>
      </c>
      <c r="D335" s="313" t="e">
        <f>VLOOKUP(A335,#REF!,4,FALSE)</f>
        <v>#REF!</v>
      </c>
      <c r="E335" s="315" t="e">
        <f t="shared" si="5"/>
        <v>#REF!</v>
      </c>
    </row>
    <row r="336" spans="1:5" x14ac:dyDescent="0.2">
      <c r="A336" s="313">
        <v>1621100110</v>
      </c>
      <c r="B336" s="313" t="s">
        <v>518</v>
      </c>
      <c r="C336" s="314">
        <v>953046</v>
      </c>
      <c r="D336" s="313" t="e">
        <f>VLOOKUP(A336,#REF!,4,FALSE)</f>
        <v>#REF!</v>
      </c>
      <c r="E336" s="315" t="e">
        <f t="shared" si="5"/>
        <v>#REF!</v>
      </c>
    </row>
    <row r="337" spans="1:5" x14ac:dyDescent="0.2">
      <c r="A337" s="313">
        <v>1621500110</v>
      </c>
      <c r="B337" s="313" t="s">
        <v>519</v>
      </c>
      <c r="C337" s="314">
        <v>630905</v>
      </c>
      <c r="D337" s="313" t="e">
        <f>VLOOKUP(A337,#REF!,4,FALSE)</f>
        <v>#REF!</v>
      </c>
      <c r="E337" s="315" t="e">
        <f t="shared" si="5"/>
        <v>#REF!</v>
      </c>
    </row>
    <row r="338" spans="1:5" x14ac:dyDescent="0.2">
      <c r="A338" s="313">
        <v>1623000110</v>
      </c>
      <c r="B338" s="313" t="s">
        <v>520</v>
      </c>
      <c r="C338" s="314">
        <v>1329699</v>
      </c>
      <c r="D338" s="313" t="e">
        <f>VLOOKUP(A338,#REF!,4,FALSE)</f>
        <v>#REF!</v>
      </c>
      <c r="E338" s="315" t="e">
        <f t="shared" si="5"/>
        <v>#REF!</v>
      </c>
    </row>
    <row r="339" spans="1:5" x14ac:dyDescent="0.2">
      <c r="A339" s="313">
        <v>1623000210</v>
      </c>
      <c r="B339" s="313" t="s">
        <v>1528</v>
      </c>
      <c r="D339" s="313" t="e">
        <f>VLOOKUP(A339,#REF!,4,FALSE)</f>
        <v>#REF!</v>
      </c>
      <c r="E339" s="315" t="e">
        <f t="shared" si="5"/>
        <v>#REF!</v>
      </c>
    </row>
    <row r="340" spans="1:5" x14ac:dyDescent="0.2">
      <c r="A340" s="313">
        <v>1624000110</v>
      </c>
      <c r="B340" s="313" t="s">
        <v>1603</v>
      </c>
      <c r="C340" s="314">
        <v>186794</v>
      </c>
      <c r="D340" s="313" t="e">
        <f>VLOOKUP(A340,#REF!,4,FALSE)</f>
        <v>#REF!</v>
      </c>
      <c r="E340" s="315" t="e">
        <f t="shared" si="5"/>
        <v>#REF!</v>
      </c>
    </row>
    <row r="341" spans="1:5" x14ac:dyDescent="0.2">
      <c r="A341" s="313">
        <v>1711000110</v>
      </c>
      <c r="B341" s="313" t="s">
        <v>521</v>
      </c>
      <c r="C341" s="314">
        <v>1961152</v>
      </c>
      <c r="D341" s="313" t="e">
        <f>VLOOKUP(A341,#REF!,4,FALSE)</f>
        <v>#REF!</v>
      </c>
      <c r="E341" s="315" t="e">
        <f t="shared" si="5"/>
        <v>#REF!</v>
      </c>
    </row>
    <row r="342" spans="1:5" x14ac:dyDescent="0.2">
      <c r="A342" s="313">
        <v>1711000210</v>
      </c>
      <c r="B342" s="313" t="s">
        <v>1483</v>
      </c>
      <c r="C342" s="314">
        <v>41000</v>
      </c>
      <c r="D342" s="313" t="e">
        <f>VLOOKUP(A342,#REF!,4,FALSE)</f>
        <v>#REF!</v>
      </c>
      <c r="E342" s="315" t="e">
        <f t="shared" si="5"/>
        <v>#REF!</v>
      </c>
    </row>
    <row r="343" spans="1:5" x14ac:dyDescent="0.2">
      <c r="A343" s="313">
        <v>1712000110</v>
      </c>
      <c r="B343" s="313" t="s">
        <v>38</v>
      </c>
      <c r="C343" s="314">
        <v>2191081</v>
      </c>
      <c r="D343" s="313" t="e">
        <f>VLOOKUP(A343,#REF!,4,FALSE)</f>
        <v>#REF!</v>
      </c>
      <c r="E343" s="315" t="e">
        <f t="shared" si="5"/>
        <v>#REF!</v>
      </c>
    </row>
    <row r="344" spans="1:5" x14ac:dyDescent="0.2">
      <c r="A344" s="313">
        <v>1712200110</v>
      </c>
      <c r="B344" s="313" t="s">
        <v>521</v>
      </c>
      <c r="C344" s="314">
        <v>202443</v>
      </c>
      <c r="D344" s="313" t="e">
        <f>VLOOKUP(A344,#REF!,4,FALSE)</f>
        <v>#REF!</v>
      </c>
      <c r="E344" s="315" t="e">
        <f t="shared" si="5"/>
        <v>#REF!</v>
      </c>
    </row>
    <row r="345" spans="1:5" x14ac:dyDescent="0.2">
      <c r="A345" s="313">
        <v>1712300110</v>
      </c>
      <c r="B345" s="313" t="s">
        <v>522</v>
      </c>
      <c r="C345" s="314">
        <v>677972</v>
      </c>
      <c r="D345" s="313" t="e">
        <f>VLOOKUP(A345,#REF!,4,FALSE)</f>
        <v>#REF!</v>
      </c>
      <c r="E345" s="315" t="e">
        <f t="shared" si="5"/>
        <v>#REF!</v>
      </c>
    </row>
    <row r="346" spans="1:5" x14ac:dyDescent="0.2">
      <c r="A346" s="313">
        <v>1712310110</v>
      </c>
      <c r="B346" s="313" t="s">
        <v>1520</v>
      </c>
      <c r="C346" s="314">
        <v>403980</v>
      </c>
      <c r="D346" s="313" t="e">
        <f>VLOOKUP(A346,#REF!,4,FALSE)</f>
        <v>#REF!</v>
      </c>
      <c r="E346" s="315" t="e">
        <f t="shared" si="5"/>
        <v>#REF!</v>
      </c>
    </row>
    <row r="347" spans="1:5" x14ac:dyDescent="0.2">
      <c r="A347" s="313">
        <v>1712500110</v>
      </c>
      <c r="B347" s="313" t="s">
        <v>76</v>
      </c>
      <c r="C347" s="314">
        <v>126667</v>
      </c>
      <c r="D347" s="313" t="e">
        <f>VLOOKUP(A347,#REF!,4,FALSE)</f>
        <v>#REF!</v>
      </c>
      <c r="E347" s="315" t="e">
        <f t="shared" si="5"/>
        <v>#REF!</v>
      </c>
    </row>
    <row r="348" spans="1:5" x14ac:dyDescent="0.2">
      <c r="A348" s="313">
        <v>1713200110</v>
      </c>
      <c r="B348" s="313" t="s">
        <v>523</v>
      </c>
      <c r="C348" s="314">
        <v>1353705</v>
      </c>
      <c r="D348" s="313" t="e">
        <f>VLOOKUP(A348,#REF!,4,FALSE)</f>
        <v>#REF!</v>
      </c>
      <c r="E348" s="315" t="e">
        <f t="shared" si="5"/>
        <v>#REF!</v>
      </c>
    </row>
    <row r="349" spans="1:5" x14ac:dyDescent="0.2">
      <c r="A349" s="313">
        <v>1714000110</v>
      </c>
      <c r="B349" s="313" t="s">
        <v>524</v>
      </c>
      <c r="C349" s="314">
        <v>860193</v>
      </c>
      <c r="D349" s="313" t="e">
        <f>VLOOKUP(A349,#REF!,4,FALSE)</f>
        <v>#REF!</v>
      </c>
      <c r="E349" s="315" t="e">
        <f t="shared" si="5"/>
        <v>#REF!</v>
      </c>
    </row>
    <row r="350" spans="1:5" x14ac:dyDescent="0.2">
      <c r="A350" s="313">
        <v>1714000210</v>
      </c>
      <c r="B350" s="313" t="s">
        <v>524</v>
      </c>
      <c r="D350" s="313" t="e">
        <f>VLOOKUP(A350,#REF!,4,FALSE)</f>
        <v>#REF!</v>
      </c>
      <c r="E350" s="315" t="e">
        <f t="shared" si="5"/>
        <v>#REF!</v>
      </c>
    </row>
    <row r="351" spans="1:5" x14ac:dyDescent="0.2">
      <c r="A351" s="313">
        <v>1715200110</v>
      </c>
      <c r="B351" s="313" t="s">
        <v>523</v>
      </c>
      <c r="C351" s="314">
        <v>148487</v>
      </c>
      <c r="D351" s="313" t="e">
        <f>VLOOKUP(A351,#REF!,4,FALSE)</f>
        <v>#REF!</v>
      </c>
      <c r="E351" s="315" t="e">
        <f t="shared" si="5"/>
        <v>#REF!</v>
      </c>
    </row>
    <row r="352" spans="1:5" x14ac:dyDescent="0.2">
      <c r="A352" s="313">
        <v>1721000110</v>
      </c>
      <c r="B352" s="313" t="s">
        <v>525</v>
      </c>
      <c r="C352" s="314">
        <v>309309</v>
      </c>
      <c r="D352" s="313" t="e">
        <f>VLOOKUP(A352,#REF!,4,FALSE)</f>
        <v>#REF!</v>
      </c>
      <c r="E352" s="315" t="e">
        <f t="shared" si="5"/>
        <v>#REF!</v>
      </c>
    </row>
    <row r="353" spans="1:5" x14ac:dyDescent="0.2">
      <c r="A353" s="313">
        <v>1722000110</v>
      </c>
      <c r="B353" s="313" t="s">
        <v>523</v>
      </c>
      <c r="C353" s="314">
        <v>444519</v>
      </c>
      <c r="D353" s="313" t="e">
        <f>VLOOKUP(A353,#REF!,4,FALSE)</f>
        <v>#REF!</v>
      </c>
      <c r="E353" s="315" t="e">
        <f t="shared" si="5"/>
        <v>#REF!</v>
      </c>
    </row>
    <row r="354" spans="1:5" x14ac:dyDescent="0.2">
      <c r="A354" s="313">
        <v>1722000210</v>
      </c>
      <c r="B354" s="313" t="s">
        <v>526</v>
      </c>
      <c r="C354" s="314">
        <v>2133856</v>
      </c>
      <c r="D354" s="313" t="e">
        <f>VLOOKUP(A354,#REF!,4,FALSE)</f>
        <v>#REF!</v>
      </c>
      <c r="E354" s="315" t="e">
        <f t="shared" si="5"/>
        <v>#REF!</v>
      </c>
    </row>
    <row r="355" spans="1:5" x14ac:dyDescent="0.2">
      <c r="A355" s="313">
        <v>1723000110</v>
      </c>
      <c r="B355" s="313" t="s">
        <v>527</v>
      </c>
      <c r="C355" s="314">
        <v>418816</v>
      </c>
      <c r="D355" s="313" t="e">
        <f>VLOOKUP(A355,#REF!,4,FALSE)</f>
        <v>#REF!</v>
      </c>
      <c r="E355" s="315" t="e">
        <f t="shared" si="5"/>
        <v>#REF!</v>
      </c>
    </row>
    <row r="356" spans="1:5" x14ac:dyDescent="0.2">
      <c r="A356" s="313">
        <v>1726100110</v>
      </c>
      <c r="B356" s="313" t="s">
        <v>523</v>
      </c>
      <c r="C356" s="314">
        <v>242665</v>
      </c>
      <c r="D356" s="313" t="e">
        <f>VLOOKUP(A356,#REF!,4,FALSE)</f>
        <v>#REF!</v>
      </c>
      <c r="E356" s="315" t="e">
        <f t="shared" si="5"/>
        <v>#REF!</v>
      </c>
    </row>
    <row r="357" spans="1:5" x14ac:dyDescent="0.2">
      <c r="A357" s="313">
        <v>1731000110</v>
      </c>
      <c r="B357" s="313" t="s">
        <v>528</v>
      </c>
      <c r="C357" s="314">
        <v>2230699</v>
      </c>
      <c r="D357" s="313" t="e">
        <f>VLOOKUP(A357,#REF!,4,FALSE)</f>
        <v>#REF!</v>
      </c>
      <c r="E357" s="315" t="e">
        <f t="shared" si="5"/>
        <v>#REF!</v>
      </c>
    </row>
    <row r="358" spans="1:5" x14ac:dyDescent="0.2">
      <c r="A358" s="313">
        <v>1732000110</v>
      </c>
      <c r="B358" s="313" t="s">
        <v>528</v>
      </c>
      <c r="C358" s="314">
        <v>417265</v>
      </c>
      <c r="D358" s="313" t="e">
        <f>VLOOKUP(A358,#REF!,4,FALSE)</f>
        <v>#REF!</v>
      </c>
      <c r="E358" s="315" t="e">
        <f t="shared" si="5"/>
        <v>#REF!</v>
      </c>
    </row>
    <row r="359" spans="1:5" x14ac:dyDescent="0.2">
      <c r="A359" s="313">
        <v>1733100110</v>
      </c>
      <c r="B359" s="313" t="s">
        <v>529</v>
      </c>
      <c r="C359" s="314">
        <v>1620404</v>
      </c>
      <c r="D359" s="313" t="e">
        <f>VLOOKUP(A359,#REF!,4,FALSE)</f>
        <v>#REF!</v>
      </c>
      <c r="E359" s="315" t="e">
        <f t="shared" si="5"/>
        <v>#REF!</v>
      </c>
    </row>
    <row r="360" spans="1:5" x14ac:dyDescent="0.2">
      <c r="A360" s="313">
        <v>1743000110</v>
      </c>
      <c r="B360" s="313" t="s">
        <v>523</v>
      </c>
      <c r="C360" s="314">
        <v>1242611</v>
      </c>
      <c r="D360" s="313" t="e">
        <f>VLOOKUP(A360,#REF!,4,FALSE)</f>
        <v>#REF!</v>
      </c>
      <c r="E360" s="315" t="e">
        <f t="shared" si="5"/>
        <v>#REF!</v>
      </c>
    </row>
    <row r="361" spans="1:5" x14ac:dyDescent="0.2">
      <c r="A361" s="313">
        <v>1746000110</v>
      </c>
      <c r="B361" s="313" t="s">
        <v>523</v>
      </c>
      <c r="C361" s="314">
        <v>701032</v>
      </c>
      <c r="D361" s="313" t="e">
        <f>VLOOKUP(A361,#REF!,4,FALSE)</f>
        <v>#REF!</v>
      </c>
      <c r="E361" s="315" t="e">
        <f t="shared" si="5"/>
        <v>#REF!</v>
      </c>
    </row>
    <row r="362" spans="1:5" x14ac:dyDescent="0.2">
      <c r="A362" s="313">
        <v>1746000210</v>
      </c>
      <c r="B362" s="313" t="s">
        <v>920</v>
      </c>
      <c r="C362" s="314">
        <v>367000</v>
      </c>
      <c r="D362" s="313" t="e">
        <f>VLOOKUP(A362,#REF!,4,FALSE)</f>
        <v>#REF!</v>
      </c>
      <c r="E362" s="315" t="e">
        <f t="shared" si="5"/>
        <v>#REF!</v>
      </c>
    </row>
    <row r="363" spans="1:5" x14ac:dyDescent="0.2">
      <c r="A363" s="313">
        <v>1746100110</v>
      </c>
      <c r="B363" s="313" t="s">
        <v>530</v>
      </c>
      <c r="C363" s="314">
        <v>2516810</v>
      </c>
      <c r="D363" s="313" t="e">
        <f>VLOOKUP(A363,#REF!,4,FALSE)</f>
        <v>#REF!</v>
      </c>
      <c r="E363" s="315" t="e">
        <f t="shared" si="5"/>
        <v>#REF!</v>
      </c>
    </row>
    <row r="364" spans="1:5" x14ac:dyDescent="0.2">
      <c r="A364" s="313">
        <v>1746100210</v>
      </c>
      <c r="B364" s="313" t="s">
        <v>249</v>
      </c>
      <c r="D364" s="313" t="e">
        <f>VLOOKUP(A364,#REF!,4,FALSE)</f>
        <v>#REF!</v>
      </c>
      <c r="E364" s="315" t="e">
        <f t="shared" si="5"/>
        <v>#REF!</v>
      </c>
    </row>
    <row r="365" spans="1:5" x14ac:dyDescent="0.2">
      <c r="A365" s="313">
        <v>1747200110</v>
      </c>
      <c r="B365" s="313" t="s">
        <v>531</v>
      </c>
      <c r="C365" s="314">
        <v>256270</v>
      </c>
      <c r="D365" s="313" t="e">
        <f>VLOOKUP(A365,#REF!,4,FALSE)</f>
        <v>#REF!</v>
      </c>
      <c r="E365" s="315" t="e">
        <f t="shared" si="5"/>
        <v>#REF!</v>
      </c>
    </row>
    <row r="366" spans="1:5" x14ac:dyDescent="0.2">
      <c r="A366" s="313">
        <v>1749000110</v>
      </c>
      <c r="B366" s="313" t="s">
        <v>523</v>
      </c>
      <c r="C366" s="314">
        <v>982176</v>
      </c>
      <c r="D366" s="313" t="e">
        <f>VLOOKUP(A366,#REF!,4,FALSE)</f>
        <v>#REF!</v>
      </c>
      <c r="E366" s="315" t="e">
        <f t="shared" si="5"/>
        <v>#REF!</v>
      </c>
    </row>
    <row r="367" spans="1:5" x14ac:dyDescent="0.2">
      <c r="A367" s="313">
        <v>1761000110</v>
      </c>
      <c r="B367" s="313" t="s">
        <v>532</v>
      </c>
      <c r="C367" s="314">
        <v>419654</v>
      </c>
      <c r="D367" s="313" t="e">
        <f>VLOOKUP(A367,#REF!,4,FALSE)</f>
        <v>#REF!</v>
      </c>
      <c r="E367" s="315" t="e">
        <f t="shared" si="5"/>
        <v>#REF!</v>
      </c>
    </row>
    <row r="368" spans="1:5" x14ac:dyDescent="0.2">
      <c r="A368" s="313">
        <v>1761000210</v>
      </c>
      <c r="B368" s="313" t="s">
        <v>250</v>
      </c>
      <c r="D368" s="313" t="e">
        <f>VLOOKUP(A368,#REF!,4,FALSE)</f>
        <v>#REF!</v>
      </c>
      <c r="E368" s="315" t="e">
        <f t="shared" si="5"/>
        <v>#REF!</v>
      </c>
    </row>
    <row r="369" spans="1:5" x14ac:dyDescent="0.2">
      <c r="A369" s="313">
        <v>1764000110</v>
      </c>
      <c r="B369" s="313" t="s">
        <v>523</v>
      </c>
      <c r="C369" s="314">
        <v>85956</v>
      </c>
      <c r="D369" s="313" t="e">
        <f>VLOOKUP(A369,#REF!,4,FALSE)</f>
        <v>#REF!</v>
      </c>
      <c r="E369" s="315" t="e">
        <f t="shared" si="5"/>
        <v>#REF!</v>
      </c>
    </row>
    <row r="370" spans="1:5" x14ac:dyDescent="0.2">
      <c r="A370" s="313">
        <v>1781000110</v>
      </c>
      <c r="B370" s="313" t="s">
        <v>523</v>
      </c>
      <c r="C370" s="314">
        <v>828952</v>
      </c>
      <c r="D370" s="313" t="e">
        <f>VLOOKUP(A370,#REF!,4,FALSE)</f>
        <v>#REF!</v>
      </c>
      <c r="E370" s="315" t="e">
        <f t="shared" si="5"/>
        <v>#REF!</v>
      </c>
    </row>
    <row r="371" spans="1:5" x14ac:dyDescent="0.2">
      <c r="A371" s="313">
        <v>1781000210</v>
      </c>
      <c r="B371" s="313" t="s">
        <v>533</v>
      </c>
      <c r="D371" s="313" t="e">
        <f>VLOOKUP(A371,#REF!,4,FALSE)</f>
        <v>#REF!</v>
      </c>
      <c r="E371" s="315" t="e">
        <f t="shared" si="5"/>
        <v>#REF!</v>
      </c>
    </row>
    <row r="372" spans="1:5" x14ac:dyDescent="0.2">
      <c r="A372" s="313">
        <v>1781100110</v>
      </c>
      <c r="B372" s="313" t="s">
        <v>534</v>
      </c>
      <c r="C372" s="314">
        <v>634121</v>
      </c>
      <c r="D372" s="313" t="e">
        <f>VLOOKUP(A372,#REF!,4,FALSE)</f>
        <v>#REF!</v>
      </c>
      <c r="E372" s="315" t="e">
        <f t="shared" si="5"/>
        <v>#REF!</v>
      </c>
    </row>
    <row r="373" spans="1:5" x14ac:dyDescent="0.2">
      <c r="A373" s="313">
        <v>1781200110</v>
      </c>
      <c r="B373" s="313" t="s">
        <v>1634</v>
      </c>
      <c r="C373" s="314">
        <v>1149731</v>
      </c>
      <c r="D373" s="313" t="e">
        <f>VLOOKUP(A373,#REF!,4,FALSE)</f>
        <v>#REF!</v>
      </c>
      <c r="E373" s="315" t="e">
        <f t="shared" si="5"/>
        <v>#REF!</v>
      </c>
    </row>
    <row r="374" spans="1:5" x14ac:dyDescent="0.2">
      <c r="A374" s="313">
        <v>1781200210</v>
      </c>
      <c r="B374" s="313" t="s">
        <v>1857</v>
      </c>
      <c r="C374" s="314">
        <v>214521</v>
      </c>
      <c r="D374" s="313" t="e">
        <f>VLOOKUP(A374,#REF!,4,FALSE)</f>
        <v>#REF!</v>
      </c>
      <c r="E374" s="315" t="e">
        <f t="shared" si="5"/>
        <v>#REF!</v>
      </c>
    </row>
    <row r="375" spans="1:5" x14ac:dyDescent="0.2">
      <c r="A375" s="313">
        <v>1811000110</v>
      </c>
      <c r="B375" s="313" t="s">
        <v>523</v>
      </c>
      <c r="C375" s="314">
        <v>2822778</v>
      </c>
      <c r="D375" s="313" t="e">
        <f>VLOOKUP(A375,#REF!,4,FALSE)</f>
        <v>#REF!</v>
      </c>
      <c r="E375" s="315" t="e">
        <f t="shared" si="5"/>
        <v>#REF!</v>
      </c>
    </row>
    <row r="376" spans="1:5" x14ac:dyDescent="0.2">
      <c r="A376" s="313">
        <v>1822000110</v>
      </c>
      <c r="B376" s="313" t="s">
        <v>1150</v>
      </c>
      <c r="D376" s="313" t="e">
        <f>VLOOKUP(A376,#REF!,4,FALSE)</f>
        <v>#REF!</v>
      </c>
      <c r="E376" s="315" t="e">
        <f t="shared" si="5"/>
        <v>#REF!</v>
      </c>
    </row>
    <row r="377" spans="1:5" x14ac:dyDescent="0.2">
      <c r="A377" s="313">
        <v>1823000110</v>
      </c>
      <c r="B377" s="313" t="s">
        <v>523</v>
      </c>
      <c r="C377" s="314">
        <v>659631</v>
      </c>
      <c r="D377" s="313" t="e">
        <f>VLOOKUP(A377,#REF!,4,FALSE)</f>
        <v>#REF!</v>
      </c>
      <c r="E377" s="315" t="e">
        <f t="shared" si="5"/>
        <v>#REF!</v>
      </c>
    </row>
    <row r="378" spans="1:5" x14ac:dyDescent="0.2">
      <c r="A378" s="313">
        <v>1823000210</v>
      </c>
      <c r="B378" s="313" t="s">
        <v>244</v>
      </c>
      <c r="C378" s="314">
        <v>59073</v>
      </c>
      <c r="D378" s="313" t="e">
        <f>VLOOKUP(A378,#REF!,4,FALSE)</f>
        <v>#REF!</v>
      </c>
      <c r="E378" s="315" t="e">
        <f t="shared" si="5"/>
        <v>#REF!</v>
      </c>
    </row>
    <row r="379" spans="1:5" x14ac:dyDescent="0.2">
      <c r="A379" s="313">
        <v>1825200110</v>
      </c>
      <c r="B379" s="313" t="s">
        <v>523</v>
      </c>
      <c r="C379" s="314">
        <v>2345908</v>
      </c>
      <c r="D379" s="313" t="e">
        <f>VLOOKUP(A379,#REF!,4,FALSE)</f>
        <v>#REF!</v>
      </c>
      <c r="E379" s="315" t="e">
        <f t="shared" si="5"/>
        <v>#REF!</v>
      </c>
    </row>
    <row r="380" spans="1:5" x14ac:dyDescent="0.2">
      <c r="A380" s="313">
        <v>1825200210</v>
      </c>
      <c r="B380" s="313" t="s">
        <v>535</v>
      </c>
      <c r="C380" s="314">
        <v>1121832</v>
      </c>
      <c r="D380" s="313" t="e">
        <f>VLOOKUP(A380,#REF!,4,FALSE)</f>
        <v>#REF!</v>
      </c>
      <c r="E380" s="315" t="e">
        <f t="shared" si="5"/>
        <v>#REF!</v>
      </c>
    </row>
    <row r="381" spans="1:5" x14ac:dyDescent="0.2">
      <c r="A381" s="313">
        <v>1829300110</v>
      </c>
      <c r="B381" s="313" t="s">
        <v>536</v>
      </c>
      <c r="C381" s="314">
        <v>67626</v>
      </c>
      <c r="D381" s="313" t="e">
        <f>VLOOKUP(A381,#REF!,4,FALSE)</f>
        <v>#REF!</v>
      </c>
      <c r="E381" s="315" t="e">
        <f t="shared" si="5"/>
        <v>#REF!</v>
      </c>
    </row>
    <row r="382" spans="1:5" x14ac:dyDescent="0.2">
      <c r="A382" s="313">
        <v>1829300210</v>
      </c>
      <c r="B382" s="313" t="s">
        <v>251</v>
      </c>
      <c r="C382" s="314">
        <v>20885</v>
      </c>
      <c r="D382" s="313" t="e">
        <f>VLOOKUP(A382,#REF!,4,FALSE)</f>
        <v>#REF!</v>
      </c>
      <c r="E382" s="315" t="e">
        <f t="shared" si="5"/>
        <v>#REF!</v>
      </c>
    </row>
    <row r="383" spans="1:5" x14ac:dyDescent="0.2">
      <c r="A383" s="313">
        <v>1829900110</v>
      </c>
      <c r="B383" s="313" t="s">
        <v>537</v>
      </c>
      <c r="C383" s="314">
        <v>164974</v>
      </c>
      <c r="D383" s="313" t="e">
        <f>VLOOKUP(A383,#REF!,4,FALSE)</f>
        <v>#REF!</v>
      </c>
      <c r="E383" s="315" t="e">
        <f t="shared" si="5"/>
        <v>#REF!</v>
      </c>
    </row>
    <row r="384" spans="1:5" x14ac:dyDescent="0.2">
      <c r="A384" s="313">
        <v>1869000110</v>
      </c>
      <c r="B384" s="313" t="s">
        <v>538</v>
      </c>
      <c r="C384" s="314">
        <v>453006</v>
      </c>
      <c r="D384" s="313" t="e">
        <f>VLOOKUP(A384,#REF!,4,FALSE)</f>
        <v>#REF!</v>
      </c>
      <c r="E384" s="315" t="e">
        <f t="shared" si="5"/>
        <v>#REF!</v>
      </c>
    </row>
    <row r="385" spans="1:5" x14ac:dyDescent="0.2">
      <c r="A385" s="313">
        <v>1913000110</v>
      </c>
      <c r="B385" s="313" t="s">
        <v>523</v>
      </c>
      <c r="D385" s="313" t="e">
        <f>VLOOKUP(A385,#REF!,4,FALSE)</f>
        <v>#REF!</v>
      </c>
      <c r="E385" s="315" t="e">
        <f t="shared" si="5"/>
        <v>#REF!</v>
      </c>
    </row>
    <row r="386" spans="1:5" x14ac:dyDescent="0.2">
      <c r="A386" s="313">
        <v>1931000110</v>
      </c>
      <c r="B386" s="313" t="s">
        <v>523</v>
      </c>
      <c r="C386" s="314">
        <v>242738</v>
      </c>
      <c r="D386" s="313" t="e">
        <f>VLOOKUP(A386,#REF!,4,FALSE)</f>
        <v>#REF!</v>
      </c>
      <c r="E386" s="315" t="e">
        <f t="shared" si="5"/>
        <v>#REF!</v>
      </c>
    </row>
    <row r="387" spans="1:5" x14ac:dyDescent="0.2">
      <c r="A387" s="313">
        <v>1937000110</v>
      </c>
      <c r="B387" s="313" t="s">
        <v>523</v>
      </c>
      <c r="C387" s="314">
        <v>175180</v>
      </c>
      <c r="D387" s="313" t="e">
        <f>VLOOKUP(A387,#REF!,4,FALSE)</f>
        <v>#REF!</v>
      </c>
      <c r="E387" s="315" t="e">
        <f t="shared" si="5"/>
        <v>#REF!</v>
      </c>
    </row>
    <row r="388" spans="1:5" x14ac:dyDescent="0.2">
      <c r="A388" s="313">
        <v>1938000110</v>
      </c>
      <c r="B388" s="313" t="s">
        <v>523</v>
      </c>
      <c r="C388" s="314">
        <v>1115257</v>
      </c>
      <c r="D388" s="313" t="e">
        <f>VLOOKUP(A388,#REF!,4,FALSE)</f>
        <v>#REF!</v>
      </c>
      <c r="E388" s="315" t="e">
        <f t="shared" si="5"/>
        <v>#REF!</v>
      </c>
    </row>
    <row r="389" spans="1:5" x14ac:dyDescent="0.2">
      <c r="A389" s="313">
        <v>1938100110</v>
      </c>
      <c r="B389" s="313" t="s">
        <v>523</v>
      </c>
      <c r="C389" s="314">
        <v>383515</v>
      </c>
      <c r="D389" s="313" t="e">
        <f>VLOOKUP(A389,#REF!,4,FALSE)</f>
        <v>#REF!</v>
      </c>
      <c r="E389" s="315" t="e">
        <f t="shared" si="5"/>
        <v>#REF!</v>
      </c>
    </row>
    <row r="390" spans="1:5" x14ac:dyDescent="0.2">
      <c r="A390" s="313">
        <v>1939000110</v>
      </c>
      <c r="B390" s="313" t="s">
        <v>523</v>
      </c>
      <c r="C390" s="314">
        <v>1516053</v>
      </c>
      <c r="D390" s="313" t="e">
        <f>VLOOKUP(A390,#REF!,4,FALSE)</f>
        <v>#REF!</v>
      </c>
      <c r="E390" s="315" t="e">
        <f t="shared" ref="E390:E453" si="6">C390-D390</f>
        <v>#REF!</v>
      </c>
    </row>
    <row r="391" spans="1:5" x14ac:dyDescent="0.2">
      <c r="A391" s="313">
        <v>1939000210</v>
      </c>
      <c r="B391" s="313" t="s">
        <v>1475</v>
      </c>
      <c r="D391" s="313" t="e">
        <f>VLOOKUP(A391,#REF!,4,FALSE)</f>
        <v>#REF!</v>
      </c>
      <c r="E391" s="315" t="e">
        <f t="shared" si="6"/>
        <v>#REF!</v>
      </c>
    </row>
    <row r="392" spans="1:5" x14ac:dyDescent="0.2">
      <c r="A392" s="313">
        <v>1972000110</v>
      </c>
      <c r="B392" s="313" t="s">
        <v>523</v>
      </c>
      <c r="D392" s="313" t="e">
        <f>VLOOKUP(A392,#REF!,4,FALSE)</f>
        <v>#REF!</v>
      </c>
      <c r="E392" s="315" t="e">
        <f t="shared" si="6"/>
        <v>#REF!</v>
      </c>
    </row>
    <row r="393" spans="1:5" x14ac:dyDescent="0.2">
      <c r="A393" s="313">
        <v>1980000310</v>
      </c>
      <c r="B393" s="313" t="s">
        <v>539</v>
      </c>
      <c r="C393" s="314">
        <v>25000</v>
      </c>
      <c r="D393" s="313" t="e">
        <f>VLOOKUP(A393,#REF!,4,FALSE)</f>
        <v>#REF!</v>
      </c>
      <c r="E393" s="315" t="e">
        <f t="shared" si="6"/>
        <v>#REF!</v>
      </c>
    </row>
    <row r="394" spans="1:5" x14ac:dyDescent="0.2">
      <c r="A394" s="313">
        <v>1980000312</v>
      </c>
      <c r="B394" s="313" t="s">
        <v>540</v>
      </c>
      <c r="C394" s="314">
        <v>265000</v>
      </c>
      <c r="D394" s="313" t="e">
        <f>VLOOKUP(A394,#REF!,4,FALSE)</f>
        <v>#REF!</v>
      </c>
      <c r="E394" s="315" t="e">
        <f t="shared" si="6"/>
        <v>#REF!</v>
      </c>
    </row>
    <row r="395" spans="1:5" x14ac:dyDescent="0.2">
      <c r="A395" s="313">
        <v>1991000110</v>
      </c>
      <c r="B395" s="313" t="s">
        <v>1267</v>
      </c>
      <c r="C395" s="314">
        <v>82500</v>
      </c>
      <c r="D395" s="313" t="e">
        <f>VLOOKUP(A395,#REF!,4,FALSE)</f>
        <v>#REF!</v>
      </c>
      <c r="E395" s="315" t="e">
        <f t="shared" si="6"/>
        <v>#REF!</v>
      </c>
    </row>
    <row r="396" spans="1:5" x14ac:dyDescent="0.2">
      <c r="A396" s="313">
        <v>1991000310</v>
      </c>
      <c r="B396" s="313" t="s">
        <v>539</v>
      </c>
      <c r="C396" s="314">
        <v>32124307</v>
      </c>
      <c r="D396" s="313" t="e">
        <f>VLOOKUP(A396,#REF!,4,FALSE)</f>
        <v>#REF!</v>
      </c>
      <c r="E396" s="315" t="e">
        <f t="shared" si="6"/>
        <v>#REF!</v>
      </c>
    </row>
    <row r="397" spans="1:5" x14ac:dyDescent="0.2">
      <c r="A397" s="313">
        <v>1991000320</v>
      </c>
      <c r="B397" s="313" t="s">
        <v>541</v>
      </c>
      <c r="C397" s="314">
        <v>910000</v>
      </c>
      <c r="D397" s="313" t="e">
        <f>VLOOKUP(A397,#REF!,4,FALSE)</f>
        <v>#REF!</v>
      </c>
      <c r="E397" s="315" t="e">
        <f t="shared" si="6"/>
        <v>#REF!</v>
      </c>
    </row>
    <row r="398" spans="1:5" x14ac:dyDescent="0.2">
      <c r="A398" s="313" t="s">
        <v>277</v>
      </c>
      <c r="B398" s="313" t="s">
        <v>510</v>
      </c>
      <c r="C398" s="314">
        <v>82719931</v>
      </c>
      <c r="D398" s="313" t="e">
        <f>VLOOKUP(A398,#REF!,4,FALSE)</f>
        <v>#REF!</v>
      </c>
      <c r="E398" s="315" t="e">
        <f t="shared" si="6"/>
        <v>#REF!</v>
      </c>
    </row>
    <row r="399" spans="1:5" x14ac:dyDescent="0.2">
      <c r="A399" s="313" t="s">
        <v>542</v>
      </c>
      <c r="B399" s="313" t="s">
        <v>543</v>
      </c>
      <c r="D399" s="313" t="e">
        <f>VLOOKUP(A399,#REF!,4,FALSE)</f>
        <v>#REF!</v>
      </c>
      <c r="E399" s="315" t="e">
        <f t="shared" si="6"/>
        <v>#REF!</v>
      </c>
    </row>
    <row r="400" spans="1:5" x14ac:dyDescent="0.2">
      <c r="A400" s="313">
        <v>1611000511</v>
      </c>
      <c r="B400" s="313" t="s">
        <v>544</v>
      </c>
      <c r="C400" s="314">
        <v>60000</v>
      </c>
      <c r="D400" s="313" t="e">
        <f>VLOOKUP(A400,#REF!,4,FALSE)</f>
        <v>#REF!</v>
      </c>
      <c r="E400" s="315" t="e">
        <f t="shared" si="6"/>
        <v>#REF!</v>
      </c>
    </row>
    <row r="401" spans="1:5" x14ac:dyDescent="0.2">
      <c r="A401" s="313">
        <v>1611000512</v>
      </c>
      <c r="B401" s="313" t="s">
        <v>545</v>
      </c>
      <c r="C401" s="314">
        <v>8500</v>
      </c>
      <c r="D401" s="313" t="e">
        <f>VLOOKUP(A401,#REF!,4,FALSE)</f>
        <v>#REF!</v>
      </c>
      <c r="E401" s="315" t="e">
        <f t="shared" si="6"/>
        <v>#REF!</v>
      </c>
    </row>
    <row r="402" spans="1:5" x14ac:dyDescent="0.2">
      <c r="A402" s="313">
        <v>1611000514</v>
      </c>
      <c r="B402" s="313" t="s">
        <v>546</v>
      </c>
      <c r="C402" s="314">
        <v>5000</v>
      </c>
      <c r="D402" s="313" t="e">
        <f>VLOOKUP(A402,#REF!,4,FALSE)</f>
        <v>#REF!</v>
      </c>
      <c r="E402" s="315" t="e">
        <f t="shared" si="6"/>
        <v>#REF!</v>
      </c>
    </row>
    <row r="403" spans="1:5" x14ac:dyDescent="0.2">
      <c r="A403" s="313">
        <v>1611000521</v>
      </c>
      <c r="B403" s="313" t="s">
        <v>547</v>
      </c>
      <c r="C403" s="314">
        <v>15000</v>
      </c>
      <c r="D403" s="313" t="e">
        <f>VLOOKUP(A403,#REF!,4,FALSE)</f>
        <v>#REF!</v>
      </c>
      <c r="E403" s="315" t="e">
        <f t="shared" si="6"/>
        <v>#REF!</v>
      </c>
    </row>
    <row r="404" spans="1:5" x14ac:dyDescent="0.2">
      <c r="A404" s="313">
        <v>1611000522</v>
      </c>
      <c r="B404" s="313" t="s">
        <v>548</v>
      </c>
      <c r="C404" s="314">
        <v>20500</v>
      </c>
      <c r="D404" s="313" t="e">
        <f>VLOOKUP(A404,#REF!,4,FALSE)</f>
        <v>#REF!</v>
      </c>
      <c r="E404" s="315" t="e">
        <f t="shared" si="6"/>
        <v>#REF!</v>
      </c>
    </row>
    <row r="405" spans="1:5" x14ac:dyDescent="0.2">
      <c r="A405" s="313">
        <v>1611000523</v>
      </c>
      <c r="B405" s="313" t="s">
        <v>549</v>
      </c>
      <c r="C405" s="314">
        <v>3800</v>
      </c>
      <c r="D405" s="313" t="e">
        <f>VLOOKUP(A405,#REF!,4,FALSE)</f>
        <v>#REF!</v>
      </c>
      <c r="E405" s="315" t="e">
        <f t="shared" si="6"/>
        <v>#REF!</v>
      </c>
    </row>
    <row r="406" spans="1:5" x14ac:dyDescent="0.2">
      <c r="A406" s="313">
        <v>1611000530</v>
      </c>
      <c r="B406" s="313" t="s">
        <v>13</v>
      </c>
      <c r="D406" s="313" t="e">
        <f>VLOOKUP(A406,#REF!,4,FALSE)</f>
        <v>#REF!</v>
      </c>
      <c r="E406" s="315" t="e">
        <f t="shared" si="6"/>
        <v>#REF!</v>
      </c>
    </row>
    <row r="407" spans="1:5" x14ac:dyDescent="0.2">
      <c r="A407" s="313">
        <v>1611000560</v>
      </c>
      <c r="B407" s="313" t="s">
        <v>550</v>
      </c>
      <c r="C407" s="314">
        <v>18000</v>
      </c>
      <c r="D407" s="313" t="e">
        <f>VLOOKUP(A407,#REF!,4,FALSE)</f>
        <v>#REF!</v>
      </c>
      <c r="E407" s="315" t="e">
        <f t="shared" si="6"/>
        <v>#REF!</v>
      </c>
    </row>
    <row r="408" spans="1:5" x14ac:dyDescent="0.2">
      <c r="A408" s="313">
        <v>1611000580</v>
      </c>
      <c r="B408" s="313" t="s">
        <v>551</v>
      </c>
      <c r="C408" s="314">
        <v>10200</v>
      </c>
      <c r="D408" s="313" t="e">
        <f>VLOOKUP(A408,#REF!,4,FALSE)</f>
        <v>#REF!</v>
      </c>
      <c r="E408" s="315" t="e">
        <f t="shared" si="6"/>
        <v>#REF!</v>
      </c>
    </row>
    <row r="409" spans="1:5" x14ac:dyDescent="0.2">
      <c r="A409" s="313">
        <v>1611000581</v>
      </c>
      <c r="B409" s="313" t="s">
        <v>1741</v>
      </c>
      <c r="C409" s="314">
        <v>12300</v>
      </c>
      <c r="D409" s="313" t="e">
        <f>VLOOKUP(A409,#REF!,4,FALSE)</f>
        <v>#REF!</v>
      </c>
      <c r="E409" s="315" t="e">
        <f t="shared" si="6"/>
        <v>#REF!</v>
      </c>
    </row>
    <row r="410" spans="1:5" x14ac:dyDescent="0.2">
      <c r="A410" s="313">
        <v>1611000760</v>
      </c>
      <c r="B410" s="313" t="s">
        <v>552</v>
      </c>
      <c r="C410" s="314">
        <v>20270</v>
      </c>
      <c r="D410" s="313" t="e">
        <f>VLOOKUP(A410,#REF!,4,FALSE)</f>
        <v>#REF!</v>
      </c>
      <c r="E410" s="315" t="e">
        <f t="shared" si="6"/>
        <v>#REF!</v>
      </c>
    </row>
    <row r="411" spans="1:5" x14ac:dyDescent="0.2">
      <c r="A411" s="313">
        <v>1611000780</v>
      </c>
      <c r="B411" s="313" t="s">
        <v>553</v>
      </c>
      <c r="C411" s="314">
        <v>35000</v>
      </c>
      <c r="D411" s="313" t="e">
        <f>VLOOKUP(A411,#REF!,4,FALSE)</f>
        <v>#REF!</v>
      </c>
      <c r="E411" s="315" t="e">
        <f t="shared" si="6"/>
        <v>#REF!</v>
      </c>
    </row>
    <row r="412" spans="1:5" x14ac:dyDescent="0.2">
      <c r="A412" s="313">
        <v>1611000930</v>
      </c>
      <c r="B412" s="313" t="s">
        <v>554</v>
      </c>
      <c r="C412" s="314">
        <v>25000</v>
      </c>
      <c r="D412" s="313" t="e">
        <f>VLOOKUP(A412,#REF!,4,FALSE)</f>
        <v>#REF!</v>
      </c>
      <c r="E412" s="315" t="e">
        <f t="shared" si="6"/>
        <v>#REF!</v>
      </c>
    </row>
    <row r="413" spans="1:5" x14ac:dyDescent="0.2">
      <c r="A413" s="313">
        <v>1611000970</v>
      </c>
      <c r="B413" s="313" t="s">
        <v>555</v>
      </c>
      <c r="C413" s="314">
        <v>96000</v>
      </c>
      <c r="D413" s="313" t="e">
        <f>VLOOKUP(A413,#REF!,4,FALSE)</f>
        <v>#REF!</v>
      </c>
      <c r="E413" s="315" t="e">
        <f t="shared" si="6"/>
        <v>#REF!</v>
      </c>
    </row>
    <row r="414" spans="1:5" x14ac:dyDescent="0.2">
      <c r="A414" s="313">
        <v>1611000980</v>
      </c>
      <c r="B414" s="313" t="s">
        <v>556</v>
      </c>
      <c r="C414" s="314">
        <v>175500</v>
      </c>
      <c r="D414" s="313" t="e">
        <f>VLOOKUP(A414,#REF!,4,FALSE)</f>
        <v>#REF!</v>
      </c>
      <c r="E414" s="315" t="e">
        <f t="shared" si="6"/>
        <v>#REF!</v>
      </c>
    </row>
    <row r="415" spans="1:5" x14ac:dyDescent="0.2">
      <c r="A415" s="313">
        <v>1611000981</v>
      </c>
      <c r="B415" s="313" t="s">
        <v>1577</v>
      </c>
      <c r="C415" s="314">
        <v>100000</v>
      </c>
      <c r="D415" s="313" t="e">
        <f>VLOOKUP(A415,#REF!,4,FALSE)</f>
        <v>#REF!</v>
      </c>
      <c r="E415" s="315" t="e">
        <f t="shared" si="6"/>
        <v>#REF!</v>
      </c>
    </row>
    <row r="416" spans="1:5" x14ac:dyDescent="0.2">
      <c r="A416" s="313">
        <v>1611001530</v>
      </c>
      <c r="B416" s="313" t="s">
        <v>1930</v>
      </c>
      <c r="C416" s="314">
        <v>94242</v>
      </c>
      <c r="D416" s="313" t="e">
        <f>VLOOKUP(A416,#REF!,4,FALSE)</f>
        <v>#REF!</v>
      </c>
      <c r="E416" s="315" t="e">
        <f t="shared" si="6"/>
        <v>#REF!</v>
      </c>
    </row>
    <row r="417" spans="1:5" x14ac:dyDescent="0.2">
      <c r="A417" s="313">
        <v>1611002731</v>
      </c>
      <c r="B417" s="313" t="s">
        <v>1743</v>
      </c>
      <c r="C417" s="314">
        <v>16361</v>
      </c>
      <c r="D417" s="313" t="e">
        <f>VLOOKUP(A417,#REF!,4,FALSE)</f>
        <v>#REF!</v>
      </c>
      <c r="E417" s="315" t="e">
        <f t="shared" si="6"/>
        <v>#REF!</v>
      </c>
    </row>
    <row r="418" spans="1:5" x14ac:dyDescent="0.2">
      <c r="A418" s="313">
        <v>1611100441</v>
      </c>
      <c r="B418" s="313" t="s">
        <v>558</v>
      </c>
      <c r="C418" s="314">
        <v>71467</v>
      </c>
      <c r="D418" s="313" t="e">
        <f>VLOOKUP(A418,#REF!,4,FALSE)</f>
        <v>#REF!</v>
      </c>
      <c r="E418" s="315" t="e">
        <f t="shared" si="6"/>
        <v>#REF!</v>
      </c>
    </row>
    <row r="419" spans="1:5" x14ac:dyDescent="0.2">
      <c r="A419" s="313">
        <v>1611100530</v>
      </c>
      <c r="B419" s="313" t="s">
        <v>99</v>
      </c>
      <c r="D419" s="313" t="e">
        <f>VLOOKUP(A419,#REF!,4,FALSE)</f>
        <v>#REF!</v>
      </c>
      <c r="E419" s="315" t="e">
        <f t="shared" si="6"/>
        <v>#REF!</v>
      </c>
    </row>
    <row r="420" spans="1:5" x14ac:dyDescent="0.2">
      <c r="A420" s="313">
        <v>1611120530</v>
      </c>
      <c r="B420" s="313" t="s">
        <v>1744</v>
      </c>
      <c r="C420" s="314">
        <v>87078</v>
      </c>
      <c r="D420" s="313" t="e">
        <f>VLOOKUP(A420,#REF!,4,FALSE)</f>
        <v>#REF!</v>
      </c>
      <c r="E420" s="315" t="e">
        <f t="shared" si="6"/>
        <v>#REF!</v>
      </c>
    </row>
    <row r="421" spans="1:5" x14ac:dyDescent="0.2">
      <c r="A421" s="313">
        <v>1612000440</v>
      </c>
      <c r="B421" s="313" t="s">
        <v>561</v>
      </c>
      <c r="C421" s="314">
        <v>9908</v>
      </c>
      <c r="D421" s="313" t="e">
        <f>VLOOKUP(A421,#REF!,4,FALSE)</f>
        <v>#REF!</v>
      </c>
      <c r="E421" s="315" t="e">
        <f t="shared" si="6"/>
        <v>#REF!</v>
      </c>
    </row>
    <row r="422" spans="1:5" x14ac:dyDescent="0.2">
      <c r="A422" s="313">
        <v>1612000511</v>
      </c>
      <c r="B422" s="313" t="s">
        <v>19</v>
      </c>
      <c r="C422" s="314">
        <v>500</v>
      </c>
      <c r="D422" s="313" t="e">
        <f>VLOOKUP(A422,#REF!,4,FALSE)</f>
        <v>#REF!</v>
      </c>
      <c r="E422" s="315" t="e">
        <f t="shared" si="6"/>
        <v>#REF!</v>
      </c>
    </row>
    <row r="423" spans="1:5" x14ac:dyDescent="0.2">
      <c r="A423" s="313">
        <v>1612000521</v>
      </c>
      <c r="B423" s="313" t="s">
        <v>562</v>
      </c>
      <c r="C423" s="314">
        <v>5148</v>
      </c>
      <c r="D423" s="313" t="e">
        <f>VLOOKUP(A423,#REF!,4,FALSE)</f>
        <v>#REF!</v>
      </c>
      <c r="E423" s="315" t="e">
        <f t="shared" si="6"/>
        <v>#REF!</v>
      </c>
    </row>
    <row r="424" spans="1:5" x14ac:dyDescent="0.2">
      <c r="A424" s="313">
        <v>1612000522</v>
      </c>
      <c r="B424" s="313" t="s">
        <v>563</v>
      </c>
      <c r="D424" s="313" t="e">
        <f>VLOOKUP(A424,#REF!,4,FALSE)</f>
        <v>#REF!</v>
      </c>
      <c r="E424" s="315" t="e">
        <f t="shared" si="6"/>
        <v>#REF!</v>
      </c>
    </row>
    <row r="425" spans="1:5" x14ac:dyDescent="0.2">
      <c r="A425" s="313">
        <v>1612000523</v>
      </c>
      <c r="B425" s="313" t="s">
        <v>564</v>
      </c>
      <c r="C425" s="314">
        <v>1100</v>
      </c>
      <c r="D425" s="313" t="e">
        <f>VLOOKUP(A425,#REF!,4,FALSE)</f>
        <v>#REF!</v>
      </c>
      <c r="E425" s="315" t="e">
        <f t="shared" si="6"/>
        <v>#REF!</v>
      </c>
    </row>
    <row r="426" spans="1:5" x14ac:dyDescent="0.2">
      <c r="A426" s="313">
        <v>1612000530</v>
      </c>
      <c r="B426" s="313" t="s">
        <v>1531</v>
      </c>
      <c r="C426" s="314">
        <v>77686</v>
      </c>
      <c r="D426" s="313" t="e">
        <f>VLOOKUP(A426,#REF!,4,FALSE)</f>
        <v>#REF!</v>
      </c>
      <c r="E426" s="315" t="e">
        <f t="shared" si="6"/>
        <v>#REF!</v>
      </c>
    </row>
    <row r="427" spans="1:5" x14ac:dyDescent="0.2">
      <c r="A427" s="313">
        <v>1612000560</v>
      </c>
      <c r="B427" s="313" t="s">
        <v>566</v>
      </c>
      <c r="C427" s="314">
        <v>700</v>
      </c>
      <c r="D427" s="313" t="e">
        <f>VLOOKUP(A427,#REF!,4,FALSE)</f>
        <v>#REF!</v>
      </c>
      <c r="E427" s="315" t="e">
        <f t="shared" si="6"/>
        <v>#REF!</v>
      </c>
    </row>
    <row r="428" spans="1:5" x14ac:dyDescent="0.2">
      <c r="A428" s="313">
        <v>1612000581</v>
      </c>
      <c r="B428" s="313" t="s">
        <v>1745</v>
      </c>
      <c r="C428" s="314">
        <v>300</v>
      </c>
      <c r="D428" s="313" t="e">
        <f>VLOOKUP(A428,#REF!,4,FALSE)</f>
        <v>#REF!</v>
      </c>
      <c r="E428" s="315" t="e">
        <f t="shared" si="6"/>
        <v>#REF!</v>
      </c>
    </row>
    <row r="429" spans="1:5" x14ac:dyDescent="0.2">
      <c r="A429" s="313">
        <v>1612000780</v>
      </c>
      <c r="B429" s="313" t="s">
        <v>567</v>
      </c>
      <c r="C429" s="314">
        <v>6000</v>
      </c>
      <c r="D429" s="313" t="e">
        <f>VLOOKUP(A429,#REF!,4,FALSE)</f>
        <v>#REF!</v>
      </c>
      <c r="E429" s="315" t="e">
        <f t="shared" si="6"/>
        <v>#REF!</v>
      </c>
    </row>
    <row r="430" spans="1:5" x14ac:dyDescent="0.2">
      <c r="A430" s="313">
        <v>1613000440</v>
      </c>
      <c r="B430" s="313" t="s">
        <v>558</v>
      </c>
      <c r="C430" s="314">
        <v>9908</v>
      </c>
      <c r="D430" s="313" t="e">
        <f>VLOOKUP(A430,#REF!,4,FALSE)</f>
        <v>#REF!</v>
      </c>
      <c r="E430" s="315" t="e">
        <f t="shared" si="6"/>
        <v>#REF!</v>
      </c>
    </row>
    <row r="431" spans="1:5" x14ac:dyDescent="0.2">
      <c r="A431" s="313">
        <v>1613000470</v>
      </c>
      <c r="B431" s="313" t="s">
        <v>569</v>
      </c>
      <c r="D431" s="313" t="e">
        <f>VLOOKUP(A431,#REF!,4,FALSE)</f>
        <v>#REF!</v>
      </c>
      <c r="E431" s="315" t="e">
        <f t="shared" si="6"/>
        <v>#REF!</v>
      </c>
    </row>
    <row r="432" spans="1:5" x14ac:dyDescent="0.2">
      <c r="A432" s="313">
        <v>1613000511</v>
      </c>
      <c r="B432" s="313" t="s">
        <v>1746</v>
      </c>
      <c r="C432" s="314">
        <v>2000</v>
      </c>
      <c r="D432" s="313" t="e">
        <f>VLOOKUP(A432,#REF!,4,FALSE)</f>
        <v>#REF!</v>
      </c>
      <c r="E432" s="315" t="e">
        <f t="shared" si="6"/>
        <v>#REF!</v>
      </c>
    </row>
    <row r="433" spans="1:5" x14ac:dyDescent="0.2">
      <c r="A433" s="313">
        <v>1613000512</v>
      </c>
      <c r="B433" s="313" t="s">
        <v>570</v>
      </c>
      <c r="C433" s="314">
        <v>2000</v>
      </c>
      <c r="D433" s="313" t="e">
        <f>VLOOKUP(A433,#REF!,4,FALSE)</f>
        <v>#REF!</v>
      </c>
      <c r="E433" s="315" t="e">
        <f t="shared" si="6"/>
        <v>#REF!</v>
      </c>
    </row>
    <row r="434" spans="1:5" x14ac:dyDescent="0.2">
      <c r="A434" s="313">
        <v>1613000520</v>
      </c>
      <c r="B434" s="313" t="s">
        <v>571</v>
      </c>
      <c r="C434" s="314">
        <v>2000</v>
      </c>
      <c r="D434" s="313" t="e">
        <f>VLOOKUP(A434,#REF!,4,FALSE)</f>
        <v>#REF!</v>
      </c>
      <c r="E434" s="315" t="e">
        <f t="shared" si="6"/>
        <v>#REF!</v>
      </c>
    </row>
    <row r="435" spans="1:5" x14ac:dyDescent="0.2">
      <c r="A435" s="313">
        <v>1613000521</v>
      </c>
      <c r="B435" s="313" t="s">
        <v>572</v>
      </c>
      <c r="C435" s="314">
        <v>4500</v>
      </c>
      <c r="D435" s="313" t="e">
        <f>VLOOKUP(A435,#REF!,4,FALSE)</f>
        <v>#REF!</v>
      </c>
      <c r="E435" s="315" t="e">
        <f t="shared" si="6"/>
        <v>#REF!</v>
      </c>
    </row>
    <row r="436" spans="1:5" x14ac:dyDescent="0.2">
      <c r="A436" s="313">
        <v>1613000522</v>
      </c>
      <c r="B436" s="313" t="s">
        <v>573</v>
      </c>
      <c r="C436" s="314">
        <v>4000</v>
      </c>
      <c r="D436" s="313" t="e">
        <f>VLOOKUP(A436,#REF!,4,FALSE)</f>
        <v>#REF!</v>
      </c>
      <c r="E436" s="315" t="e">
        <f t="shared" si="6"/>
        <v>#REF!</v>
      </c>
    </row>
    <row r="437" spans="1:5" x14ac:dyDescent="0.2">
      <c r="A437" s="313">
        <v>1613000523</v>
      </c>
      <c r="B437" s="313" t="s">
        <v>574</v>
      </c>
      <c r="C437" s="314">
        <v>1700</v>
      </c>
      <c r="D437" s="313" t="e">
        <f>VLOOKUP(A437,#REF!,4,FALSE)</f>
        <v>#REF!</v>
      </c>
      <c r="E437" s="315" t="e">
        <f t="shared" si="6"/>
        <v>#REF!</v>
      </c>
    </row>
    <row r="438" spans="1:5" x14ac:dyDescent="0.2">
      <c r="A438" s="313">
        <v>1613000530</v>
      </c>
      <c r="B438" s="313" t="s">
        <v>1748</v>
      </c>
      <c r="C438" s="314">
        <v>68363</v>
      </c>
      <c r="D438" s="313" t="e">
        <f>VLOOKUP(A438,#REF!,4,FALSE)</f>
        <v>#REF!</v>
      </c>
      <c r="E438" s="315" t="e">
        <f t="shared" si="6"/>
        <v>#REF!</v>
      </c>
    </row>
    <row r="439" spans="1:5" x14ac:dyDescent="0.2">
      <c r="A439" s="313">
        <v>1613000560</v>
      </c>
      <c r="B439" s="313" t="s">
        <v>576</v>
      </c>
      <c r="C439" s="314">
        <v>4740</v>
      </c>
      <c r="D439" s="313" t="e">
        <f>VLOOKUP(A439,#REF!,4,FALSE)</f>
        <v>#REF!</v>
      </c>
      <c r="E439" s="315" t="e">
        <f t="shared" si="6"/>
        <v>#REF!</v>
      </c>
    </row>
    <row r="440" spans="1:5" x14ac:dyDescent="0.2">
      <c r="A440" s="313">
        <v>1613000580</v>
      </c>
      <c r="B440" s="313" t="s">
        <v>577</v>
      </c>
      <c r="C440" s="314">
        <v>2000</v>
      </c>
      <c r="D440" s="313" t="e">
        <f>VLOOKUP(A440,#REF!,4,FALSE)</f>
        <v>#REF!</v>
      </c>
      <c r="E440" s="315" t="e">
        <f t="shared" si="6"/>
        <v>#REF!</v>
      </c>
    </row>
    <row r="441" spans="1:5" x14ac:dyDescent="0.2">
      <c r="A441" s="313">
        <v>1613000581</v>
      </c>
      <c r="B441" s="313" t="s">
        <v>1749</v>
      </c>
      <c r="C441" s="314">
        <v>16770</v>
      </c>
      <c r="D441" s="313" t="e">
        <f>VLOOKUP(A441,#REF!,4,FALSE)</f>
        <v>#REF!</v>
      </c>
      <c r="E441" s="315" t="e">
        <f t="shared" si="6"/>
        <v>#REF!</v>
      </c>
    </row>
    <row r="442" spans="1:5" x14ac:dyDescent="0.2">
      <c r="A442" s="313">
        <v>1613000810</v>
      </c>
      <c r="B442" s="313" t="s">
        <v>578</v>
      </c>
      <c r="C442" s="314">
        <v>303150</v>
      </c>
      <c r="D442" s="313" t="e">
        <f>VLOOKUP(A442,#REF!,4,FALSE)</f>
        <v>#REF!</v>
      </c>
      <c r="E442" s="315" t="e">
        <f t="shared" si="6"/>
        <v>#REF!</v>
      </c>
    </row>
    <row r="443" spans="1:5" x14ac:dyDescent="0.2">
      <c r="A443" s="313">
        <v>1613000910</v>
      </c>
      <c r="B443" s="313" t="s">
        <v>741</v>
      </c>
      <c r="C443" s="314">
        <v>242500</v>
      </c>
      <c r="D443" s="313" t="e">
        <f>VLOOKUP(A443,#REF!,4,FALSE)</f>
        <v>#REF!</v>
      </c>
      <c r="E443" s="315" t="e">
        <f t="shared" si="6"/>
        <v>#REF!</v>
      </c>
    </row>
    <row r="444" spans="1:5" x14ac:dyDescent="0.2">
      <c r="A444" s="313">
        <v>1613000930</v>
      </c>
      <c r="B444" s="313" t="s">
        <v>579</v>
      </c>
      <c r="C444" s="314">
        <v>9000</v>
      </c>
      <c r="D444" s="313" t="e">
        <f>VLOOKUP(A444,#REF!,4,FALSE)</f>
        <v>#REF!</v>
      </c>
      <c r="E444" s="315" t="e">
        <f t="shared" si="6"/>
        <v>#REF!</v>
      </c>
    </row>
    <row r="445" spans="1:5" x14ac:dyDescent="0.2">
      <c r="A445" s="313">
        <v>1613000980</v>
      </c>
      <c r="B445" s="313" t="s">
        <v>580</v>
      </c>
      <c r="C445" s="314">
        <v>17658</v>
      </c>
      <c r="D445" s="313" t="e">
        <f>VLOOKUP(A445,#REF!,4,FALSE)</f>
        <v>#REF!</v>
      </c>
      <c r="E445" s="315" t="e">
        <f t="shared" si="6"/>
        <v>#REF!</v>
      </c>
    </row>
    <row r="446" spans="1:5" x14ac:dyDescent="0.2">
      <c r="A446" s="313">
        <v>1613000981</v>
      </c>
      <c r="B446" s="313" t="s">
        <v>1553</v>
      </c>
      <c r="C446" s="314">
        <v>28000</v>
      </c>
      <c r="D446" s="313" t="e">
        <f>VLOOKUP(A446,#REF!,4,FALSE)</f>
        <v>#REF!</v>
      </c>
      <c r="E446" s="315" t="e">
        <f t="shared" si="6"/>
        <v>#REF!</v>
      </c>
    </row>
    <row r="447" spans="1:5" x14ac:dyDescent="0.2">
      <c r="A447" s="313">
        <v>1614000470</v>
      </c>
      <c r="B447" s="313" t="s">
        <v>581</v>
      </c>
      <c r="C447" s="314">
        <v>1000</v>
      </c>
      <c r="D447" s="313" t="e">
        <f>VLOOKUP(A447,#REF!,4,FALSE)</f>
        <v>#REF!</v>
      </c>
      <c r="E447" s="315" t="e">
        <f t="shared" si="6"/>
        <v>#REF!</v>
      </c>
    </row>
    <row r="448" spans="1:5" x14ac:dyDescent="0.2">
      <c r="A448" s="313">
        <v>1614000511</v>
      </c>
      <c r="B448" s="313" t="s">
        <v>1751</v>
      </c>
      <c r="C448" s="314">
        <v>1000</v>
      </c>
      <c r="D448" s="313" t="e">
        <f>VLOOKUP(A448,#REF!,4,FALSE)</f>
        <v>#REF!</v>
      </c>
      <c r="E448" s="315" t="e">
        <f t="shared" si="6"/>
        <v>#REF!</v>
      </c>
    </row>
    <row r="449" spans="1:5" x14ac:dyDescent="0.2">
      <c r="A449" s="313">
        <v>1614000521</v>
      </c>
      <c r="B449" s="313" t="s">
        <v>582</v>
      </c>
      <c r="C449" s="314">
        <v>5648</v>
      </c>
      <c r="D449" s="313" t="e">
        <f>VLOOKUP(A449,#REF!,4,FALSE)</f>
        <v>#REF!</v>
      </c>
      <c r="E449" s="315" t="e">
        <f t="shared" si="6"/>
        <v>#REF!</v>
      </c>
    </row>
    <row r="450" spans="1:5" x14ac:dyDescent="0.2">
      <c r="A450" s="313">
        <v>1614000522</v>
      </c>
      <c r="B450" s="313" t="s">
        <v>583</v>
      </c>
      <c r="C450" s="314">
        <v>1000</v>
      </c>
      <c r="D450" s="313" t="e">
        <f>VLOOKUP(A450,#REF!,4,FALSE)</f>
        <v>#REF!</v>
      </c>
      <c r="E450" s="315" t="e">
        <f t="shared" si="6"/>
        <v>#REF!</v>
      </c>
    </row>
    <row r="451" spans="1:5" x14ac:dyDescent="0.2">
      <c r="A451" s="313">
        <v>1614000550</v>
      </c>
      <c r="B451" s="313" t="s">
        <v>584</v>
      </c>
      <c r="C451" s="314">
        <v>179640</v>
      </c>
      <c r="D451" s="313" t="e">
        <f>VLOOKUP(A451,#REF!,4,FALSE)</f>
        <v>#REF!</v>
      </c>
      <c r="E451" s="315" t="e">
        <f t="shared" si="6"/>
        <v>#REF!</v>
      </c>
    </row>
    <row r="452" spans="1:5" x14ac:dyDescent="0.2">
      <c r="A452" s="313">
        <v>1614000570</v>
      </c>
      <c r="B452" s="313" t="s">
        <v>243</v>
      </c>
      <c r="C452" s="314">
        <v>9648</v>
      </c>
      <c r="D452" s="313" t="e">
        <f>VLOOKUP(A452,#REF!,4,FALSE)</f>
        <v>#REF!</v>
      </c>
      <c r="E452" s="315" t="e">
        <f t="shared" si="6"/>
        <v>#REF!</v>
      </c>
    </row>
    <row r="453" spans="1:5" x14ac:dyDescent="0.2">
      <c r="A453" s="313">
        <v>1614000581</v>
      </c>
      <c r="B453" s="313" t="s">
        <v>1752</v>
      </c>
      <c r="C453" s="314">
        <v>360</v>
      </c>
      <c r="D453" s="313" t="e">
        <f>VLOOKUP(A453,#REF!,4,FALSE)</f>
        <v>#REF!</v>
      </c>
      <c r="E453" s="315" t="e">
        <f t="shared" si="6"/>
        <v>#REF!</v>
      </c>
    </row>
    <row r="454" spans="1:5" x14ac:dyDescent="0.2">
      <c r="A454" s="313">
        <v>1614000930</v>
      </c>
      <c r="B454" s="313" t="s">
        <v>585</v>
      </c>
      <c r="C454" s="314">
        <v>2000</v>
      </c>
      <c r="D454" s="313" t="e">
        <f>VLOOKUP(A454,#REF!,4,FALSE)</f>
        <v>#REF!</v>
      </c>
      <c r="E454" s="315" t="e">
        <f t="shared" ref="E454:E517" si="7">C454-D454</f>
        <v>#REF!</v>
      </c>
    </row>
    <row r="455" spans="1:5" x14ac:dyDescent="0.2">
      <c r="A455" s="313">
        <v>1614001551</v>
      </c>
      <c r="B455" s="313" t="s">
        <v>586</v>
      </c>
      <c r="C455" s="314">
        <v>49000</v>
      </c>
      <c r="D455" s="313" t="e">
        <f>VLOOKUP(A455,#REF!,4,FALSE)</f>
        <v>#REF!</v>
      </c>
      <c r="E455" s="315" t="e">
        <f t="shared" si="7"/>
        <v>#REF!</v>
      </c>
    </row>
    <row r="456" spans="1:5" x14ac:dyDescent="0.2">
      <c r="A456" s="313">
        <v>1615000511</v>
      </c>
      <c r="B456" s="313" t="s">
        <v>1753</v>
      </c>
      <c r="C456" s="314">
        <v>2000</v>
      </c>
      <c r="D456" s="313" t="e">
        <f>VLOOKUP(A456,#REF!,4,FALSE)</f>
        <v>#REF!</v>
      </c>
      <c r="E456" s="315" t="e">
        <f t="shared" si="7"/>
        <v>#REF!</v>
      </c>
    </row>
    <row r="457" spans="1:5" x14ac:dyDescent="0.2">
      <c r="A457" s="313">
        <v>1615000521</v>
      </c>
      <c r="B457" s="313" t="s">
        <v>1754</v>
      </c>
      <c r="C457" s="314">
        <v>1260</v>
      </c>
      <c r="D457" s="313" t="e">
        <f>VLOOKUP(A457,#REF!,4,FALSE)</f>
        <v>#REF!</v>
      </c>
      <c r="E457" s="315" t="e">
        <f t="shared" si="7"/>
        <v>#REF!</v>
      </c>
    </row>
    <row r="458" spans="1:5" x14ac:dyDescent="0.2">
      <c r="A458" s="313">
        <v>1615000522</v>
      </c>
      <c r="B458" s="313" t="s">
        <v>587</v>
      </c>
      <c r="C458" s="314">
        <v>1000</v>
      </c>
      <c r="D458" s="313" t="e">
        <f>VLOOKUP(A458,#REF!,4,FALSE)</f>
        <v>#REF!</v>
      </c>
      <c r="E458" s="315" t="e">
        <f t="shared" si="7"/>
        <v>#REF!</v>
      </c>
    </row>
    <row r="459" spans="1:5" x14ac:dyDescent="0.2">
      <c r="A459" s="313">
        <v>1615000523</v>
      </c>
      <c r="B459" s="313" t="s">
        <v>588</v>
      </c>
      <c r="C459" s="314">
        <v>880</v>
      </c>
      <c r="D459" s="313" t="e">
        <f>VLOOKUP(A459,#REF!,4,FALSE)</f>
        <v>#REF!</v>
      </c>
      <c r="E459" s="315" t="e">
        <f t="shared" si="7"/>
        <v>#REF!</v>
      </c>
    </row>
    <row r="460" spans="1:5" x14ac:dyDescent="0.2">
      <c r="A460" s="313">
        <v>1615000560</v>
      </c>
      <c r="B460" s="313" t="s">
        <v>589</v>
      </c>
      <c r="C460" s="314">
        <v>3860</v>
      </c>
      <c r="D460" s="313" t="e">
        <f>VLOOKUP(A460,#REF!,4,FALSE)</f>
        <v>#REF!</v>
      </c>
      <c r="E460" s="315" t="e">
        <f t="shared" si="7"/>
        <v>#REF!</v>
      </c>
    </row>
    <row r="461" spans="1:5" x14ac:dyDescent="0.2">
      <c r="A461" s="313">
        <v>1615000571</v>
      </c>
      <c r="B461" s="313" t="s">
        <v>590</v>
      </c>
      <c r="C461" s="314">
        <v>7160</v>
      </c>
      <c r="D461" s="313" t="e">
        <f>VLOOKUP(A461,#REF!,4,FALSE)</f>
        <v>#REF!</v>
      </c>
      <c r="E461" s="315" t="e">
        <f t="shared" si="7"/>
        <v>#REF!</v>
      </c>
    </row>
    <row r="462" spans="1:5" x14ac:dyDescent="0.2">
      <c r="A462" s="313">
        <v>1615000581</v>
      </c>
      <c r="B462" s="313" t="s">
        <v>1673</v>
      </c>
      <c r="C462" s="314">
        <v>1812</v>
      </c>
      <c r="D462" s="313" t="e">
        <f>VLOOKUP(A462,#REF!,4,FALSE)</f>
        <v>#REF!</v>
      </c>
      <c r="E462" s="315" t="e">
        <f t="shared" si="7"/>
        <v>#REF!</v>
      </c>
    </row>
    <row r="463" spans="1:5" x14ac:dyDescent="0.2">
      <c r="A463" s="313">
        <v>1615000780</v>
      </c>
      <c r="B463" s="313" t="s">
        <v>591</v>
      </c>
      <c r="C463" s="314">
        <v>380250</v>
      </c>
      <c r="D463" s="313" t="e">
        <f>VLOOKUP(A463,#REF!,4,FALSE)</f>
        <v>#REF!</v>
      </c>
      <c r="E463" s="315" t="e">
        <f t="shared" si="7"/>
        <v>#REF!</v>
      </c>
    </row>
    <row r="464" spans="1:5" x14ac:dyDescent="0.2">
      <c r="A464" s="313">
        <v>1615000930</v>
      </c>
      <c r="B464" s="313" t="s">
        <v>592</v>
      </c>
      <c r="C464" s="314">
        <v>5568</v>
      </c>
      <c r="D464" s="313" t="e">
        <f>VLOOKUP(A464,#REF!,4,FALSE)</f>
        <v>#REF!</v>
      </c>
      <c r="E464" s="315" t="e">
        <f t="shared" si="7"/>
        <v>#REF!</v>
      </c>
    </row>
    <row r="465" spans="1:5" x14ac:dyDescent="0.2">
      <c r="A465" s="313">
        <v>1615000981</v>
      </c>
      <c r="B465" s="313" t="s">
        <v>652</v>
      </c>
      <c r="C465" s="314">
        <v>235000</v>
      </c>
      <c r="D465" s="313" t="e">
        <f>VLOOKUP(A465,#REF!,4,FALSE)</f>
        <v>#REF!</v>
      </c>
      <c r="E465" s="315" t="e">
        <f t="shared" si="7"/>
        <v>#REF!</v>
      </c>
    </row>
    <row r="466" spans="1:5" x14ac:dyDescent="0.2">
      <c r="A466" s="313">
        <v>1617000440</v>
      </c>
      <c r="B466" s="313" t="s">
        <v>593</v>
      </c>
      <c r="C466" s="314">
        <v>69728</v>
      </c>
      <c r="D466" s="313" t="e">
        <f>VLOOKUP(A466,#REF!,4,FALSE)</f>
        <v>#REF!</v>
      </c>
      <c r="E466" s="315" t="e">
        <f t="shared" si="7"/>
        <v>#REF!</v>
      </c>
    </row>
    <row r="467" spans="1:5" x14ac:dyDescent="0.2">
      <c r="A467" s="313">
        <v>1617000441</v>
      </c>
      <c r="B467" s="313" t="s">
        <v>594</v>
      </c>
      <c r="C467" s="314">
        <v>585000</v>
      </c>
      <c r="D467" s="313" t="e">
        <f>VLOOKUP(A467,#REF!,4,FALSE)</f>
        <v>#REF!</v>
      </c>
      <c r="E467" s="315" t="e">
        <f t="shared" si="7"/>
        <v>#REF!</v>
      </c>
    </row>
    <row r="468" spans="1:5" x14ac:dyDescent="0.2">
      <c r="A468" s="313">
        <v>1617000442</v>
      </c>
      <c r="B468" s="313" t="s">
        <v>595</v>
      </c>
      <c r="C468" s="314">
        <v>295000</v>
      </c>
      <c r="D468" s="313" t="e">
        <f>VLOOKUP(A468,#REF!,4,FALSE)</f>
        <v>#REF!</v>
      </c>
      <c r="E468" s="315" t="e">
        <f t="shared" si="7"/>
        <v>#REF!</v>
      </c>
    </row>
    <row r="469" spans="1:5" x14ac:dyDescent="0.2">
      <c r="A469" s="313">
        <v>1617000500</v>
      </c>
      <c r="B469" s="313" t="s">
        <v>596</v>
      </c>
      <c r="C469" s="314">
        <v>80500</v>
      </c>
      <c r="D469" s="313" t="e">
        <f>VLOOKUP(A469,#REF!,4,FALSE)</f>
        <v>#REF!</v>
      </c>
      <c r="E469" s="315" t="e">
        <f t="shared" si="7"/>
        <v>#REF!</v>
      </c>
    </row>
    <row r="470" spans="1:5" x14ac:dyDescent="0.2">
      <c r="A470" s="313">
        <v>1617000511</v>
      </c>
      <c r="B470" s="313" t="s">
        <v>597</v>
      </c>
      <c r="C470" s="314">
        <v>3600</v>
      </c>
      <c r="D470" s="313" t="e">
        <f>VLOOKUP(A470,#REF!,4,FALSE)</f>
        <v>#REF!</v>
      </c>
      <c r="E470" s="315" t="e">
        <f t="shared" si="7"/>
        <v>#REF!</v>
      </c>
    </row>
    <row r="471" spans="1:5" x14ac:dyDescent="0.2">
      <c r="A471" s="313">
        <v>1617000512</v>
      </c>
      <c r="B471" s="313" t="s">
        <v>598</v>
      </c>
      <c r="C471" s="314">
        <v>400</v>
      </c>
      <c r="D471" s="313" t="e">
        <f>VLOOKUP(A471,#REF!,4,FALSE)</f>
        <v>#REF!</v>
      </c>
      <c r="E471" s="315" t="e">
        <f t="shared" si="7"/>
        <v>#REF!</v>
      </c>
    </row>
    <row r="472" spans="1:5" x14ac:dyDescent="0.2">
      <c r="A472" s="313">
        <v>1617000521</v>
      </c>
      <c r="B472" s="313" t="s">
        <v>599</v>
      </c>
      <c r="C472" s="314">
        <v>15520</v>
      </c>
      <c r="D472" s="313" t="e">
        <f>VLOOKUP(A472,#REF!,4,FALSE)</f>
        <v>#REF!</v>
      </c>
      <c r="E472" s="315" t="e">
        <f t="shared" si="7"/>
        <v>#REF!</v>
      </c>
    </row>
    <row r="473" spans="1:5" x14ac:dyDescent="0.2">
      <c r="A473" s="313">
        <v>1617000522</v>
      </c>
      <c r="B473" s="313" t="s">
        <v>600</v>
      </c>
      <c r="C473" s="314">
        <v>16000</v>
      </c>
      <c r="D473" s="313" t="e">
        <f>VLOOKUP(A473,#REF!,4,FALSE)</f>
        <v>#REF!</v>
      </c>
      <c r="E473" s="315" t="e">
        <f t="shared" si="7"/>
        <v>#REF!</v>
      </c>
    </row>
    <row r="474" spans="1:5" x14ac:dyDescent="0.2">
      <c r="A474" s="313">
        <v>1617000523</v>
      </c>
      <c r="B474" s="313" t="s">
        <v>601</v>
      </c>
      <c r="C474" s="314">
        <v>7000</v>
      </c>
      <c r="D474" s="313" t="e">
        <f>VLOOKUP(A474,#REF!,4,FALSE)</f>
        <v>#REF!</v>
      </c>
      <c r="E474" s="315" t="e">
        <f t="shared" si="7"/>
        <v>#REF!</v>
      </c>
    </row>
    <row r="475" spans="1:5" x14ac:dyDescent="0.2">
      <c r="A475" s="313">
        <v>1617000530</v>
      </c>
      <c r="B475" s="313" t="s">
        <v>1761</v>
      </c>
      <c r="C475" s="314">
        <v>81384</v>
      </c>
      <c r="D475" s="313" t="e">
        <f>VLOOKUP(A475,#REF!,4,FALSE)</f>
        <v>#REF!</v>
      </c>
      <c r="E475" s="315" t="e">
        <f t="shared" si="7"/>
        <v>#REF!</v>
      </c>
    </row>
    <row r="476" spans="1:5" x14ac:dyDescent="0.2">
      <c r="A476" s="313">
        <v>1617000540</v>
      </c>
      <c r="B476" s="313" t="s">
        <v>603</v>
      </c>
      <c r="C476" s="314">
        <v>12.1</v>
      </c>
      <c r="D476" s="313" t="e">
        <f>VLOOKUP(A476,#REF!,4,FALSE)</f>
        <v>#REF!</v>
      </c>
      <c r="E476" s="315" t="e">
        <f t="shared" si="7"/>
        <v>#REF!</v>
      </c>
    </row>
    <row r="477" spans="1:5" x14ac:dyDescent="0.2">
      <c r="A477" s="313">
        <v>1617000560</v>
      </c>
      <c r="B477" s="313" t="s">
        <v>604</v>
      </c>
      <c r="C477" s="314">
        <v>6008</v>
      </c>
      <c r="D477" s="313" t="e">
        <f>VLOOKUP(A477,#REF!,4,FALSE)</f>
        <v>#REF!</v>
      </c>
      <c r="E477" s="315" t="e">
        <f t="shared" si="7"/>
        <v>#REF!</v>
      </c>
    </row>
    <row r="478" spans="1:5" x14ac:dyDescent="0.2">
      <c r="A478" s="313">
        <v>1617000561</v>
      </c>
      <c r="B478" s="313" t="s">
        <v>1931</v>
      </c>
      <c r="C478" s="314">
        <v>1992</v>
      </c>
      <c r="D478" s="313" t="e">
        <f>VLOOKUP(A478,#REF!,4,FALSE)</f>
        <v>#REF!</v>
      </c>
      <c r="E478" s="315" t="e">
        <f t="shared" si="7"/>
        <v>#REF!</v>
      </c>
    </row>
    <row r="479" spans="1:5" x14ac:dyDescent="0.2">
      <c r="A479" s="313">
        <v>1617000570</v>
      </c>
      <c r="B479" s="313" t="s">
        <v>605</v>
      </c>
      <c r="C479" s="314">
        <v>12500</v>
      </c>
      <c r="D479" s="313" t="e">
        <f>VLOOKUP(A479,#REF!,4,FALSE)</f>
        <v>#REF!</v>
      </c>
      <c r="E479" s="315" t="e">
        <f t="shared" si="7"/>
        <v>#REF!</v>
      </c>
    </row>
    <row r="480" spans="1:5" x14ac:dyDescent="0.2">
      <c r="A480" s="313">
        <v>1617000580</v>
      </c>
      <c r="B480" s="313" t="s">
        <v>1218</v>
      </c>
      <c r="D480" s="313" t="e">
        <f>VLOOKUP(A480,#REF!,4,FALSE)</f>
        <v>#REF!</v>
      </c>
      <c r="E480" s="315" t="e">
        <f t="shared" si="7"/>
        <v>#REF!</v>
      </c>
    </row>
    <row r="481" spans="1:5" x14ac:dyDescent="0.2">
      <c r="A481" s="313">
        <v>1617000581</v>
      </c>
      <c r="B481" s="313" t="s">
        <v>606</v>
      </c>
      <c r="C481" s="314">
        <v>185000</v>
      </c>
      <c r="D481" s="313" t="e">
        <f>VLOOKUP(A481,#REF!,4,FALSE)</f>
        <v>#REF!</v>
      </c>
      <c r="E481" s="315" t="e">
        <f t="shared" si="7"/>
        <v>#REF!</v>
      </c>
    </row>
    <row r="482" spans="1:5" x14ac:dyDescent="0.2">
      <c r="A482" s="313">
        <v>1617000750</v>
      </c>
      <c r="B482" s="313" t="s">
        <v>607</v>
      </c>
      <c r="C482" s="314">
        <v>703628</v>
      </c>
      <c r="D482" s="313" t="e">
        <f>VLOOKUP(A482,#REF!,4,FALSE)</f>
        <v>#REF!</v>
      </c>
      <c r="E482" s="315" t="e">
        <f t="shared" si="7"/>
        <v>#REF!</v>
      </c>
    </row>
    <row r="483" spans="1:5" x14ac:dyDescent="0.2">
      <c r="A483" s="313">
        <v>1617000760</v>
      </c>
      <c r="B483" s="313" t="s">
        <v>552</v>
      </c>
      <c r="C483" s="314">
        <v>27000</v>
      </c>
      <c r="D483" s="313" t="e">
        <f>VLOOKUP(A483,#REF!,4,FALSE)</f>
        <v>#REF!</v>
      </c>
      <c r="E483" s="315" t="e">
        <f t="shared" si="7"/>
        <v>#REF!</v>
      </c>
    </row>
    <row r="484" spans="1:5" x14ac:dyDescent="0.2">
      <c r="A484" s="313">
        <v>1617000930</v>
      </c>
      <c r="B484" s="313" t="s">
        <v>608</v>
      </c>
      <c r="C484" s="314">
        <v>13000</v>
      </c>
      <c r="D484" s="313" t="e">
        <f>VLOOKUP(A484,#REF!,4,FALSE)</f>
        <v>#REF!</v>
      </c>
      <c r="E484" s="315" t="e">
        <f t="shared" si="7"/>
        <v>#REF!</v>
      </c>
    </row>
    <row r="485" spans="1:5" x14ac:dyDescent="0.2">
      <c r="A485" s="313">
        <v>1617000980</v>
      </c>
      <c r="B485" s="313" t="s">
        <v>609</v>
      </c>
      <c r="C485" s="314">
        <v>5587.9</v>
      </c>
      <c r="D485" s="313" t="e">
        <f>VLOOKUP(A485,#REF!,4,FALSE)</f>
        <v>#REF!</v>
      </c>
      <c r="E485" s="315" t="e">
        <f t="shared" si="7"/>
        <v>#REF!</v>
      </c>
    </row>
    <row r="486" spans="1:5" x14ac:dyDescent="0.2">
      <c r="A486" s="313">
        <v>1621000731</v>
      </c>
      <c r="B486" s="313" t="s">
        <v>1530</v>
      </c>
      <c r="D486" s="313" t="e">
        <f>VLOOKUP(A486,#REF!,4,FALSE)</f>
        <v>#REF!</v>
      </c>
      <c r="E486" s="315" t="e">
        <f t="shared" si="7"/>
        <v>#REF!</v>
      </c>
    </row>
    <row r="487" spans="1:5" x14ac:dyDescent="0.2">
      <c r="A487" s="313">
        <v>1621100440</v>
      </c>
      <c r="B487" s="313" t="s">
        <v>610</v>
      </c>
      <c r="C487" s="314">
        <v>9908</v>
      </c>
      <c r="D487" s="313" t="e">
        <f>VLOOKUP(A487,#REF!,4,FALSE)</f>
        <v>#REF!</v>
      </c>
      <c r="E487" s="315" t="e">
        <f t="shared" si="7"/>
        <v>#REF!</v>
      </c>
    </row>
    <row r="488" spans="1:5" x14ac:dyDescent="0.2">
      <c r="A488" s="313">
        <v>1621100470</v>
      </c>
      <c r="B488" s="313" t="s">
        <v>611</v>
      </c>
      <c r="C488" s="314">
        <v>1300</v>
      </c>
      <c r="D488" s="313" t="e">
        <f>VLOOKUP(A488,#REF!,4,FALSE)</f>
        <v>#REF!</v>
      </c>
      <c r="E488" s="315" t="e">
        <f t="shared" si="7"/>
        <v>#REF!</v>
      </c>
    </row>
    <row r="489" spans="1:5" x14ac:dyDescent="0.2">
      <c r="A489" s="313">
        <v>1621100511</v>
      </c>
      <c r="B489" s="313" t="s">
        <v>612</v>
      </c>
      <c r="C489" s="314">
        <v>4500</v>
      </c>
      <c r="D489" s="313" t="e">
        <f>VLOOKUP(A489,#REF!,4,FALSE)</f>
        <v>#REF!</v>
      </c>
      <c r="E489" s="315" t="e">
        <f t="shared" si="7"/>
        <v>#REF!</v>
      </c>
    </row>
    <row r="490" spans="1:5" x14ac:dyDescent="0.2">
      <c r="A490" s="313">
        <v>1621100512</v>
      </c>
      <c r="B490" s="313" t="s">
        <v>613</v>
      </c>
      <c r="D490" s="313" t="e">
        <f>VLOOKUP(A490,#REF!,4,FALSE)</f>
        <v>#REF!</v>
      </c>
      <c r="E490" s="315" t="e">
        <f t="shared" si="7"/>
        <v>#REF!</v>
      </c>
    </row>
    <row r="491" spans="1:5" x14ac:dyDescent="0.2">
      <c r="A491" s="313">
        <v>1621100521</v>
      </c>
      <c r="B491" s="313" t="s">
        <v>614</v>
      </c>
      <c r="C491" s="314">
        <v>7648</v>
      </c>
      <c r="D491" s="313" t="e">
        <f>VLOOKUP(A491,#REF!,4,FALSE)</f>
        <v>#REF!</v>
      </c>
      <c r="E491" s="315" t="e">
        <f t="shared" si="7"/>
        <v>#REF!</v>
      </c>
    </row>
    <row r="492" spans="1:5" x14ac:dyDescent="0.2">
      <c r="A492" s="313">
        <v>1621100522</v>
      </c>
      <c r="B492" s="313" t="s">
        <v>615</v>
      </c>
      <c r="C492" s="314">
        <v>3208.03</v>
      </c>
      <c r="D492" s="313" t="e">
        <f>VLOOKUP(A492,#REF!,4,FALSE)</f>
        <v>#REF!</v>
      </c>
      <c r="E492" s="315" t="e">
        <f t="shared" si="7"/>
        <v>#REF!</v>
      </c>
    </row>
    <row r="493" spans="1:5" x14ac:dyDescent="0.2">
      <c r="A493" s="313">
        <v>1621100523</v>
      </c>
      <c r="B493" s="313" t="s">
        <v>616</v>
      </c>
      <c r="C493" s="314">
        <v>1500</v>
      </c>
      <c r="D493" s="313" t="e">
        <f>VLOOKUP(A493,#REF!,4,FALSE)</f>
        <v>#REF!</v>
      </c>
      <c r="E493" s="315" t="e">
        <f t="shared" si="7"/>
        <v>#REF!</v>
      </c>
    </row>
    <row r="494" spans="1:5" x14ac:dyDescent="0.2">
      <c r="A494" s="313">
        <v>1621100530</v>
      </c>
      <c r="B494" s="313" t="s">
        <v>1770</v>
      </c>
      <c r="C494" s="314">
        <v>81945</v>
      </c>
      <c r="D494" s="313" t="e">
        <f>VLOOKUP(A494,#REF!,4,FALSE)</f>
        <v>#REF!</v>
      </c>
      <c r="E494" s="315" t="e">
        <f t="shared" si="7"/>
        <v>#REF!</v>
      </c>
    </row>
    <row r="495" spans="1:5" x14ac:dyDescent="0.2">
      <c r="A495" s="313">
        <v>1621100560</v>
      </c>
      <c r="B495" s="313" t="s">
        <v>618</v>
      </c>
      <c r="C495" s="314">
        <v>4754</v>
      </c>
      <c r="D495" s="313" t="e">
        <f>VLOOKUP(A495,#REF!,4,FALSE)</f>
        <v>#REF!</v>
      </c>
      <c r="E495" s="315" t="e">
        <f t="shared" si="7"/>
        <v>#REF!</v>
      </c>
    </row>
    <row r="496" spans="1:5" x14ac:dyDescent="0.2">
      <c r="A496" s="313">
        <v>1621100580</v>
      </c>
      <c r="B496" s="313" t="s">
        <v>1220</v>
      </c>
      <c r="D496" s="313" t="e">
        <f>VLOOKUP(A496,#REF!,4,FALSE)</f>
        <v>#REF!</v>
      </c>
      <c r="E496" s="315" t="e">
        <f t="shared" si="7"/>
        <v>#REF!</v>
      </c>
    </row>
    <row r="497" spans="1:5" x14ac:dyDescent="0.2">
      <c r="A497" s="313">
        <v>1621100581</v>
      </c>
      <c r="B497" s="313" t="s">
        <v>1771</v>
      </c>
      <c r="C497" s="314">
        <v>2196</v>
      </c>
      <c r="D497" s="313" t="e">
        <f>VLOOKUP(A497,#REF!,4,FALSE)</f>
        <v>#REF!</v>
      </c>
      <c r="E497" s="315" t="e">
        <f t="shared" si="7"/>
        <v>#REF!</v>
      </c>
    </row>
    <row r="498" spans="1:5" x14ac:dyDescent="0.2">
      <c r="A498" s="313">
        <v>1621100760</v>
      </c>
      <c r="B498" s="313" t="s">
        <v>552</v>
      </c>
      <c r="C498" s="314">
        <v>0</v>
      </c>
      <c r="D498" s="313" t="e">
        <f>VLOOKUP(A498,#REF!,4,FALSE)</f>
        <v>#REF!</v>
      </c>
      <c r="E498" s="315" t="e">
        <f t="shared" si="7"/>
        <v>#REF!</v>
      </c>
    </row>
    <row r="499" spans="1:5" x14ac:dyDescent="0.2">
      <c r="A499" s="313">
        <v>1621100910</v>
      </c>
      <c r="B499" s="313" t="s">
        <v>1529</v>
      </c>
      <c r="D499" s="313" t="e">
        <f>VLOOKUP(A499,#REF!,4,FALSE)</f>
        <v>#REF!</v>
      </c>
      <c r="E499" s="315" t="e">
        <f t="shared" si="7"/>
        <v>#REF!</v>
      </c>
    </row>
    <row r="500" spans="1:5" x14ac:dyDescent="0.2">
      <c r="A500" s="313">
        <v>1621100930</v>
      </c>
      <c r="B500" s="313" t="s">
        <v>620</v>
      </c>
      <c r="D500" s="313" t="e">
        <f>VLOOKUP(A500,#REF!,4,FALSE)</f>
        <v>#REF!</v>
      </c>
      <c r="E500" s="315" t="e">
        <f t="shared" si="7"/>
        <v>#REF!</v>
      </c>
    </row>
    <row r="501" spans="1:5" x14ac:dyDescent="0.2">
      <c r="A501" s="313">
        <v>1621100980</v>
      </c>
      <c r="B501" s="313" t="s">
        <v>621</v>
      </c>
      <c r="C501" s="314">
        <v>156796.97</v>
      </c>
      <c r="D501" s="313" t="e">
        <f>VLOOKUP(A501,#REF!,4,FALSE)</f>
        <v>#REF!</v>
      </c>
      <c r="E501" s="315" t="e">
        <f t="shared" si="7"/>
        <v>#REF!</v>
      </c>
    </row>
    <row r="502" spans="1:5" x14ac:dyDescent="0.2">
      <c r="A502" s="313">
        <v>1621300560</v>
      </c>
      <c r="B502" s="313" t="s">
        <v>623</v>
      </c>
      <c r="C502" s="314">
        <v>4660</v>
      </c>
      <c r="D502" s="313" t="e">
        <f>VLOOKUP(A502,#REF!,4,FALSE)</f>
        <v>#REF!</v>
      </c>
      <c r="E502" s="315" t="e">
        <f t="shared" si="7"/>
        <v>#REF!</v>
      </c>
    </row>
    <row r="503" spans="1:5" x14ac:dyDescent="0.2">
      <c r="A503" s="313">
        <v>1621300570</v>
      </c>
      <c r="B503" s="313" t="s">
        <v>624</v>
      </c>
      <c r="C503" s="314">
        <v>154452</v>
      </c>
      <c r="D503" s="313" t="e">
        <f>VLOOKUP(A503,#REF!,4,FALSE)</f>
        <v>#REF!</v>
      </c>
      <c r="E503" s="315" t="e">
        <f t="shared" si="7"/>
        <v>#REF!</v>
      </c>
    </row>
    <row r="504" spans="1:5" x14ac:dyDescent="0.2">
      <c r="A504" s="313">
        <v>1621300571</v>
      </c>
      <c r="B504" s="313" t="s">
        <v>2058</v>
      </c>
      <c r="C504" s="314">
        <v>8040</v>
      </c>
      <c r="D504" s="313" t="e">
        <f>VLOOKUP(A504,#REF!,4,FALSE)</f>
        <v>#REF!</v>
      </c>
      <c r="E504" s="315" t="e">
        <f t="shared" si="7"/>
        <v>#REF!</v>
      </c>
    </row>
    <row r="505" spans="1:5" x14ac:dyDescent="0.2">
      <c r="A505" s="313">
        <v>1621300581</v>
      </c>
      <c r="B505" s="313" t="s">
        <v>1932</v>
      </c>
      <c r="C505" s="314">
        <v>3240</v>
      </c>
      <c r="D505" s="313" t="e">
        <f>VLOOKUP(A505,#REF!,4,FALSE)</f>
        <v>#REF!</v>
      </c>
      <c r="E505" s="315" t="e">
        <f t="shared" si="7"/>
        <v>#REF!</v>
      </c>
    </row>
    <row r="506" spans="1:5" x14ac:dyDescent="0.2">
      <c r="A506" s="313">
        <v>1621300750</v>
      </c>
      <c r="B506" s="313" t="s">
        <v>625</v>
      </c>
      <c r="C506" s="314">
        <v>1774020</v>
      </c>
      <c r="D506" s="313" t="e">
        <f>VLOOKUP(A506,#REF!,4,FALSE)</f>
        <v>#REF!</v>
      </c>
      <c r="E506" s="315" t="e">
        <f t="shared" si="7"/>
        <v>#REF!</v>
      </c>
    </row>
    <row r="507" spans="1:5" x14ac:dyDescent="0.2">
      <c r="A507" s="313">
        <v>1621300780</v>
      </c>
      <c r="B507" s="313" t="s">
        <v>626</v>
      </c>
      <c r="C507" s="314">
        <v>4000</v>
      </c>
      <c r="D507" s="313" t="e">
        <f>VLOOKUP(A507,#REF!,4,FALSE)</f>
        <v>#REF!</v>
      </c>
      <c r="E507" s="315" t="e">
        <f t="shared" si="7"/>
        <v>#REF!</v>
      </c>
    </row>
    <row r="508" spans="1:5" x14ac:dyDescent="0.2">
      <c r="A508" s="313">
        <v>1621300930</v>
      </c>
      <c r="B508" s="313" t="s">
        <v>627</v>
      </c>
      <c r="C508" s="314">
        <v>8000</v>
      </c>
      <c r="D508" s="313" t="e">
        <f>VLOOKUP(A508,#REF!,4,FALSE)</f>
        <v>#REF!</v>
      </c>
      <c r="E508" s="315" t="e">
        <f t="shared" si="7"/>
        <v>#REF!</v>
      </c>
    </row>
    <row r="509" spans="1:5" x14ac:dyDescent="0.2">
      <c r="A509" s="313">
        <v>1621500511</v>
      </c>
      <c r="B509" s="313" t="s">
        <v>29</v>
      </c>
      <c r="C509" s="314">
        <v>1000</v>
      </c>
      <c r="D509" s="313" t="e">
        <f>VLOOKUP(A509,#REF!,4,FALSE)</f>
        <v>#REF!</v>
      </c>
      <c r="E509" s="315" t="e">
        <f t="shared" si="7"/>
        <v>#REF!</v>
      </c>
    </row>
    <row r="510" spans="1:5" x14ac:dyDescent="0.2">
      <c r="A510" s="313">
        <v>1621500521</v>
      </c>
      <c r="B510" s="313" t="s">
        <v>628</v>
      </c>
      <c r="C510" s="314">
        <v>6000</v>
      </c>
      <c r="D510" s="313" t="e">
        <f>VLOOKUP(A510,#REF!,4,FALSE)</f>
        <v>#REF!</v>
      </c>
      <c r="E510" s="315" t="e">
        <f t="shared" si="7"/>
        <v>#REF!</v>
      </c>
    </row>
    <row r="511" spans="1:5" x14ac:dyDescent="0.2">
      <c r="A511" s="313">
        <v>1621500560</v>
      </c>
      <c r="B511" s="313" t="s">
        <v>630</v>
      </c>
      <c r="C511" s="314">
        <v>1620</v>
      </c>
      <c r="D511" s="313" t="e">
        <f>VLOOKUP(A511,#REF!,4,FALSE)</f>
        <v>#REF!</v>
      </c>
      <c r="E511" s="315" t="e">
        <f t="shared" si="7"/>
        <v>#REF!</v>
      </c>
    </row>
    <row r="512" spans="1:5" x14ac:dyDescent="0.2">
      <c r="A512" s="313">
        <v>1621500570</v>
      </c>
      <c r="B512" s="313" t="s">
        <v>631</v>
      </c>
      <c r="C512" s="314">
        <v>410576</v>
      </c>
      <c r="D512" s="313" t="e">
        <f>VLOOKUP(A512,#REF!,4,FALSE)</f>
        <v>#REF!</v>
      </c>
      <c r="E512" s="315" t="e">
        <f t="shared" si="7"/>
        <v>#REF!</v>
      </c>
    </row>
    <row r="513" spans="1:5" x14ac:dyDescent="0.2">
      <c r="A513" s="313">
        <v>1621500581</v>
      </c>
      <c r="B513" s="313" t="s">
        <v>1778</v>
      </c>
      <c r="C513" s="314">
        <v>5400</v>
      </c>
      <c r="D513" s="313" t="e">
        <f>VLOOKUP(A513,#REF!,4,FALSE)</f>
        <v>#REF!</v>
      </c>
      <c r="E513" s="315" t="e">
        <f t="shared" si="7"/>
        <v>#REF!</v>
      </c>
    </row>
    <row r="514" spans="1:5" x14ac:dyDescent="0.2">
      <c r="A514" s="313">
        <v>1621500780</v>
      </c>
      <c r="B514" s="313" t="s">
        <v>632</v>
      </c>
      <c r="C514" s="314">
        <v>1680</v>
      </c>
      <c r="D514" s="313" t="e">
        <f>VLOOKUP(A514,#REF!,4,FALSE)</f>
        <v>#REF!</v>
      </c>
      <c r="E514" s="315" t="e">
        <f t="shared" si="7"/>
        <v>#REF!</v>
      </c>
    </row>
    <row r="515" spans="1:5" x14ac:dyDescent="0.2">
      <c r="A515" s="313">
        <v>1621500930</v>
      </c>
      <c r="B515" s="313" t="s">
        <v>633</v>
      </c>
      <c r="C515" s="314">
        <v>3320</v>
      </c>
      <c r="D515" s="313" t="e">
        <f>VLOOKUP(A515,#REF!,4,FALSE)</f>
        <v>#REF!</v>
      </c>
      <c r="E515" s="315" t="e">
        <f t="shared" si="7"/>
        <v>#REF!</v>
      </c>
    </row>
    <row r="516" spans="1:5" x14ac:dyDescent="0.2">
      <c r="A516" s="313">
        <v>1623000440</v>
      </c>
      <c r="B516" s="313" t="s">
        <v>634</v>
      </c>
      <c r="C516" s="314">
        <v>2727</v>
      </c>
      <c r="D516" s="313" t="e">
        <f>VLOOKUP(A516,#REF!,4,FALSE)</f>
        <v>#REF!</v>
      </c>
      <c r="E516" s="315" t="e">
        <f t="shared" si="7"/>
        <v>#REF!</v>
      </c>
    </row>
    <row r="517" spans="1:5" x14ac:dyDescent="0.2">
      <c r="A517" s="313">
        <v>1623000511</v>
      </c>
      <c r="B517" s="313" t="s">
        <v>1779</v>
      </c>
      <c r="C517" s="314">
        <v>1500</v>
      </c>
      <c r="D517" s="313" t="e">
        <f>VLOOKUP(A517,#REF!,4,FALSE)</f>
        <v>#REF!</v>
      </c>
      <c r="E517" s="315" t="e">
        <f t="shared" si="7"/>
        <v>#REF!</v>
      </c>
    </row>
    <row r="518" spans="1:5" x14ac:dyDescent="0.2">
      <c r="A518" s="313">
        <v>1623000521</v>
      </c>
      <c r="B518" s="313" t="s">
        <v>635</v>
      </c>
      <c r="C518" s="314">
        <v>9100</v>
      </c>
      <c r="D518" s="313" t="e">
        <f>VLOOKUP(A518,#REF!,4,FALSE)</f>
        <v>#REF!</v>
      </c>
      <c r="E518" s="315" t="e">
        <f t="shared" ref="E518:E581" si="8">C518-D518</f>
        <v>#REF!</v>
      </c>
    </row>
    <row r="519" spans="1:5" x14ac:dyDescent="0.2">
      <c r="A519" s="313">
        <v>1623000530</v>
      </c>
      <c r="B519" s="313" t="s">
        <v>636</v>
      </c>
      <c r="D519" s="313" t="e">
        <f>VLOOKUP(A519,#REF!,4,FALSE)</f>
        <v>#REF!</v>
      </c>
      <c r="E519" s="315" t="e">
        <f t="shared" si="8"/>
        <v>#REF!</v>
      </c>
    </row>
    <row r="520" spans="1:5" x14ac:dyDescent="0.2">
      <c r="A520" s="313">
        <v>1623000560</v>
      </c>
      <c r="B520" s="313" t="s">
        <v>637</v>
      </c>
      <c r="C520" s="314">
        <v>7486</v>
      </c>
      <c r="D520" s="313" t="e">
        <f>VLOOKUP(A520,#REF!,4,FALSE)</f>
        <v>#REF!</v>
      </c>
      <c r="E520" s="315" t="e">
        <f t="shared" si="8"/>
        <v>#REF!</v>
      </c>
    </row>
    <row r="521" spans="1:5" x14ac:dyDescent="0.2">
      <c r="A521" s="313">
        <v>1623000570</v>
      </c>
      <c r="B521" s="313" t="s">
        <v>638</v>
      </c>
      <c r="C521" s="314">
        <v>372122</v>
      </c>
      <c r="D521" s="313" t="e">
        <f>VLOOKUP(A521,#REF!,4,FALSE)</f>
        <v>#REF!</v>
      </c>
      <c r="E521" s="315" t="e">
        <f t="shared" si="8"/>
        <v>#REF!</v>
      </c>
    </row>
    <row r="522" spans="1:5" x14ac:dyDescent="0.2">
      <c r="A522" s="313">
        <v>1623000580</v>
      </c>
      <c r="B522" s="313" t="s">
        <v>639</v>
      </c>
      <c r="C522" s="314">
        <v>40245</v>
      </c>
      <c r="D522" s="313" t="e">
        <f>VLOOKUP(A522,#REF!,4,FALSE)</f>
        <v>#REF!</v>
      </c>
      <c r="E522" s="315" t="e">
        <f t="shared" si="8"/>
        <v>#REF!</v>
      </c>
    </row>
    <row r="523" spans="1:5" x14ac:dyDescent="0.2">
      <c r="A523" s="313">
        <v>1623000720</v>
      </c>
      <c r="B523" s="313" t="s">
        <v>1780</v>
      </c>
      <c r="C523" s="314">
        <v>9323</v>
      </c>
      <c r="D523" s="313" t="e">
        <f>VLOOKUP(A523,#REF!,4,FALSE)</f>
        <v>#REF!</v>
      </c>
      <c r="E523" s="315" t="e">
        <f t="shared" si="8"/>
        <v>#REF!</v>
      </c>
    </row>
    <row r="524" spans="1:5" x14ac:dyDescent="0.2">
      <c r="A524" s="313">
        <v>1623000750</v>
      </c>
      <c r="B524" s="313" t="s">
        <v>640</v>
      </c>
      <c r="C524" s="314">
        <v>4350000</v>
      </c>
      <c r="D524" s="313" t="e">
        <f>VLOOKUP(A524,#REF!,4,FALSE)</f>
        <v>#REF!</v>
      </c>
      <c r="E524" s="315" t="e">
        <f t="shared" si="8"/>
        <v>#REF!</v>
      </c>
    </row>
    <row r="525" spans="1:5" x14ac:dyDescent="0.2">
      <c r="A525" s="313">
        <v>1623000751</v>
      </c>
      <c r="B525" s="313" t="s">
        <v>641</v>
      </c>
      <c r="C525" s="314">
        <v>1154</v>
      </c>
      <c r="D525" s="313" t="e">
        <f>VLOOKUP(A525,#REF!,4,FALSE)</f>
        <v>#REF!</v>
      </c>
      <c r="E525" s="315" t="e">
        <f t="shared" si="8"/>
        <v>#REF!</v>
      </c>
    </row>
    <row r="526" spans="1:5" x14ac:dyDescent="0.2">
      <c r="A526" s="313">
        <v>1623000753</v>
      </c>
      <c r="B526" s="313" t="s">
        <v>32</v>
      </c>
      <c r="C526" s="314">
        <v>1303120</v>
      </c>
      <c r="D526" s="313" t="e">
        <f>VLOOKUP(A526,#REF!,4,FALSE)</f>
        <v>#REF!</v>
      </c>
      <c r="E526" s="315" t="e">
        <f t="shared" si="8"/>
        <v>#REF!</v>
      </c>
    </row>
    <row r="527" spans="1:5" x14ac:dyDescent="0.2">
      <c r="A527" s="313">
        <v>1623000780</v>
      </c>
      <c r="B527" s="313" t="s">
        <v>642</v>
      </c>
      <c r="C527" s="314">
        <v>146000</v>
      </c>
      <c r="D527" s="313" t="e">
        <f>VLOOKUP(A527,#REF!,4,FALSE)</f>
        <v>#REF!</v>
      </c>
      <c r="E527" s="315" t="e">
        <f t="shared" si="8"/>
        <v>#REF!</v>
      </c>
    </row>
    <row r="528" spans="1:5" x14ac:dyDescent="0.2">
      <c r="A528" s="313">
        <v>1623000930</v>
      </c>
      <c r="B528" s="313" t="s">
        <v>643</v>
      </c>
      <c r="C528" s="314">
        <v>8502</v>
      </c>
      <c r="D528" s="313" t="e">
        <f>VLOOKUP(A528,#REF!,4,FALSE)</f>
        <v>#REF!</v>
      </c>
      <c r="E528" s="315" t="e">
        <f t="shared" si="8"/>
        <v>#REF!</v>
      </c>
    </row>
    <row r="529" spans="1:5" x14ac:dyDescent="0.2">
      <c r="A529" s="313">
        <v>1623000980</v>
      </c>
      <c r="B529" s="313" t="s">
        <v>1781</v>
      </c>
      <c r="C529" s="314">
        <v>18352</v>
      </c>
      <c r="D529" s="313" t="e">
        <f>VLOOKUP(A529,#REF!,4,FALSE)</f>
        <v>#REF!</v>
      </c>
      <c r="E529" s="315" t="e">
        <f t="shared" si="8"/>
        <v>#REF!</v>
      </c>
    </row>
    <row r="530" spans="1:5" x14ac:dyDescent="0.2">
      <c r="A530" s="313">
        <v>1623100530</v>
      </c>
      <c r="B530" s="313" t="s">
        <v>1601</v>
      </c>
      <c r="C530" s="314">
        <v>60421</v>
      </c>
      <c r="D530" s="313" t="e">
        <f>VLOOKUP(A530,#REF!,4,FALSE)</f>
        <v>#REF!</v>
      </c>
      <c r="E530" s="315" t="e">
        <f t="shared" si="8"/>
        <v>#REF!</v>
      </c>
    </row>
    <row r="531" spans="1:5" x14ac:dyDescent="0.2">
      <c r="A531" s="313">
        <v>1623100731</v>
      </c>
      <c r="B531" s="313" t="s">
        <v>1782</v>
      </c>
      <c r="C531" s="314">
        <v>7442</v>
      </c>
      <c r="D531" s="313" t="e">
        <f>VLOOKUP(A531,#REF!,4,FALSE)</f>
        <v>#REF!</v>
      </c>
      <c r="E531" s="315" t="e">
        <f t="shared" si="8"/>
        <v>#REF!</v>
      </c>
    </row>
    <row r="532" spans="1:5" x14ac:dyDescent="0.2">
      <c r="A532" s="313">
        <v>1624000511</v>
      </c>
      <c r="B532" s="313" t="s">
        <v>1783</v>
      </c>
      <c r="C532" s="314">
        <v>1200</v>
      </c>
      <c r="D532" s="313" t="e">
        <f>VLOOKUP(A532,#REF!,4,FALSE)</f>
        <v>#REF!</v>
      </c>
      <c r="E532" s="315" t="e">
        <f t="shared" si="8"/>
        <v>#REF!</v>
      </c>
    </row>
    <row r="533" spans="1:5" x14ac:dyDescent="0.2">
      <c r="A533" s="313">
        <v>1624000560</v>
      </c>
      <c r="B533" s="313" t="s">
        <v>1784</v>
      </c>
      <c r="C533" s="314">
        <v>1300</v>
      </c>
      <c r="D533" s="313" t="e">
        <f>VLOOKUP(A533,#REF!,4,FALSE)</f>
        <v>#REF!</v>
      </c>
      <c r="E533" s="315" t="e">
        <f t="shared" si="8"/>
        <v>#REF!</v>
      </c>
    </row>
    <row r="534" spans="1:5" x14ac:dyDescent="0.2">
      <c r="A534" s="313">
        <v>1624000780</v>
      </c>
      <c r="B534" s="313" t="s">
        <v>1785</v>
      </c>
      <c r="C534" s="314">
        <v>1400</v>
      </c>
      <c r="D534" s="313" t="e">
        <f>VLOOKUP(A534,#REF!,4,FALSE)</f>
        <v>#REF!</v>
      </c>
      <c r="E534" s="315" t="e">
        <f t="shared" si="8"/>
        <v>#REF!</v>
      </c>
    </row>
    <row r="535" spans="1:5" x14ac:dyDescent="0.2">
      <c r="A535" s="313">
        <v>1624000930</v>
      </c>
      <c r="B535" s="313" t="s">
        <v>1604</v>
      </c>
      <c r="C535" s="314">
        <v>500</v>
      </c>
      <c r="D535" s="313" t="e">
        <f>VLOOKUP(A535,#REF!,4,FALSE)</f>
        <v>#REF!</v>
      </c>
      <c r="E535" s="315" t="e">
        <f t="shared" si="8"/>
        <v>#REF!</v>
      </c>
    </row>
    <row r="536" spans="1:5" x14ac:dyDescent="0.2">
      <c r="A536" s="313">
        <v>1711000511</v>
      </c>
      <c r="B536" s="313" t="s">
        <v>644</v>
      </c>
      <c r="C536" s="314">
        <v>5253</v>
      </c>
      <c r="D536" s="313" t="e">
        <f>VLOOKUP(A536,#REF!,4,FALSE)</f>
        <v>#REF!</v>
      </c>
      <c r="E536" s="315" t="e">
        <f t="shared" si="8"/>
        <v>#REF!</v>
      </c>
    </row>
    <row r="537" spans="1:5" x14ac:dyDescent="0.2">
      <c r="A537" s="313">
        <v>1711000521</v>
      </c>
      <c r="B537" s="313" t="s">
        <v>646</v>
      </c>
      <c r="C537" s="314">
        <v>33466</v>
      </c>
      <c r="D537" s="313" t="e">
        <f>VLOOKUP(A537,#REF!,4,FALSE)</f>
        <v>#REF!</v>
      </c>
      <c r="E537" s="315" t="e">
        <f t="shared" si="8"/>
        <v>#REF!</v>
      </c>
    </row>
    <row r="538" spans="1:5" x14ac:dyDescent="0.2">
      <c r="A538" s="313">
        <v>1711000560</v>
      </c>
      <c r="B538" s="313" t="s">
        <v>647</v>
      </c>
      <c r="C538" s="314">
        <v>4100</v>
      </c>
      <c r="D538" s="313" t="e">
        <f>VLOOKUP(A538,#REF!,4,FALSE)</f>
        <v>#REF!</v>
      </c>
      <c r="E538" s="315" t="e">
        <f t="shared" si="8"/>
        <v>#REF!</v>
      </c>
    </row>
    <row r="539" spans="1:5" x14ac:dyDescent="0.2">
      <c r="A539" s="313">
        <v>1711000580</v>
      </c>
      <c r="B539" s="313" t="s">
        <v>648</v>
      </c>
      <c r="D539" s="313" t="e">
        <f>VLOOKUP(A539,#REF!,4,FALSE)</f>
        <v>#REF!</v>
      </c>
      <c r="E539" s="315" t="e">
        <f t="shared" si="8"/>
        <v>#REF!</v>
      </c>
    </row>
    <row r="540" spans="1:5" x14ac:dyDescent="0.2">
      <c r="A540" s="313">
        <v>1711000581</v>
      </c>
      <c r="B540" s="313" t="s">
        <v>1787</v>
      </c>
      <c r="C540" s="314">
        <v>6000</v>
      </c>
      <c r="D540" s="313" t="e">
        <f>VLOOKUP(A540,#REF!,4,FALSE)</f>
        <v>#REF!</v>
      </c>
      <c r="E540" s="315" t="e">
        <f t="shared" si="8"/>
        <v>#REF!</v>
      </c>
    </row>
    <row r="541" spans="1:5" x14ac:dyDescent="0.2">
      <c r="A541" s="313">
        <v>1711000731</v>
      </c>
      <c r="B541" s="313" t="s">
        <v>1527</v>
      </c>
      <c r="D541" s="313" t="e">
        <f>VLOOKUP(A541,#REF!,4,FALSE)</f>
        <v>#REF!</v>
      </c>
      <c r="E541" s="315" t="e">
        <f t="shared" si="8"/>
        <v>#REF!</v>
      </c>
    </row>
    <row r="542" spans="1:5" x14ac:dyDescent="0.2">
      <c r="A542" s="313">
        <v>1711000760</v>
      </c>
      <c r="B542" s="313" t="s">
        <v>552</v>
      </c>
      <c r="C542" s="314">
        <v>12600</v>
      </c>
      <c r="D542" s="313" t="e">
        <f>VLOOKUP(A542,#REF!,4,FALSE)</f>
        <v>#REF!</v>
      </c>
      <c r="E542" s="315" t="e">
        <f t="shared" si="8"/>
        <v>#REF!</v>
      </c>
    </row>
    <row r="543" spans="1:5" x14ac:dyDescent="0.2">
      <c r="A543" s="313">
        <v>1711000780</v>
      </c>
      <c r="B543" s="313" t="s">
        <v>650</v>
      </c>
      <c r="C543" s="314">
        <v>17700</v>
      </c>
      <c r="D543" s="313" t="e">
        <f>VLOOKUP(A543,#REF!,4,FALSE)</f>
        <v>#REF!</v>
      </c>
      <c r="E543" s="315" t="e">
        <f t="shared" si="8"/>
        <v>#REF!</v>
      </c>
    </row>
    <row r="544" spans="1:5" x14ac:dyDescent="0.2">
      <c r="A544" s="313">
        <v>1711000930</v>
      </c>
      <c r="B544" s="313" t="s">
        <v>651</v>
      </c>
      <c r="C544" s="314">
        <v>5747</v>
      </c>
      <c r="D544" s="313" t="e">
        <f>VLOOKUP(A544,#REF!,4,FALSE)</f>
        <v>#REF!</v>
      </c>
      <c r="E544" s="315" t="e">
        <f t="shared" si="8"/>
        <v>#REF!</v>
      </c>
    </row>
    <row r="545" spans="1:5" x14ac:dyDescent="0.2">
      <c r="A545" s="313">
        <v>1711003731</v>
      </c>
      <c r="B545" s="313" t="s">
        <v>113</v>
      </c>
      <c r="D545" s="313" t="e">
        <f>VLOOKUP(A545,#REF!,4,FALSE)</f>
        <v>#REF!</v>
      </c>
      <c r="E545" s="315" t="e">
        <f t="shared" si="8"/>
        <v>#REF!</v>
      </c>
    </row>
    <row r="546" spans="1:5" x14ac:dyDescent="0.2">
      <c r="A546" s="313">
        <v>1711100980</v>
      </c>
      <c r="B546" s="313" t="s">
        <v>652</v>
      </c>
      <c r="C546" s="314">
        <v>0</v>
      </c>
      <c r="D546" s="313" t="e">
        <f>VLOOKUP(A546,#REF!,4,FALSE)</f>
        <v>#REF!</v>
      </c>
      <c r="E546" s="315" t="e">
        <f t="shared" si="8"/>
        <v>#REF!</v>
      </c>
    </row>
    <row r="547" spans="1:5" x14ac:dyDescent="0.2">
      <c r="A547" s="313">
        <v>1712000731</v>
      </c>
      <c r="B547" s="313" t="s">
        <v>46</v>
      </c>
      <c r="C547" s="314">
        <v>114525</v>
      </c>
      <c r="D547" s="313" t="e">
        <f>VLOOKUP(A547,#REF!,4,FALSE)</f>
        <v>#REF!</v>
      </c>
      <c r="E547" s="315" t="e">
        <f t="shared" si="8"/>
        <v>#REF!</v>
      </c>
    </row>
    <row r="548" spans="1:5" x14ac:dyDescent="0.2">
      <c r="A548" s="313">
        <v>1712001731</v>
      </c>
      <c r="B548" s="313" t="s">
        <v>47</v>
      </c>
      <c r="C548" s="314">
        <v>166500</v>
      </c>
      <c r="D548" s="313" t="e">
        <f>VLOOKUP(A548,#REF!,4,FALSE)</f>
        <v>#REF!</v>
      </c>
      <c r="E548" s="315" t="e">
        <f t="shared" si="8"/>
        <v>#REF!</v>
      </c>
    </row>
    <row r="549" spans="1:5" x14ac:dyDescent="0.2">
      <c r="A549" s="313">
        <v>1712002731</v>
      </c>
      <c r="B549" s="313" t="s">
        <v>256</v>
      </c>
      <c r="C549" s="314">
        <v>118005</v>
      </c>
      <c r="D549" s="313" t="e">
        <f>VLOOKUP(A549,#REF!,4,FALSE)</f>
        <v>#REF!</v>
      </c>
      <c r="E549" s="315" t="e">
        <f t="shared" si="8"/>
        <v>#REF!</v>
      </c>
    </row>
    <row r="550" spans="1:5" x14ac:dyDescent="0.2">
      <c r="A550" s="313">
        <v>1712003731</v>
      </c>
      <c r="B550" s="313" t="s">
        <v>257</v>
      </c>
      <c r="C550" s="314">
        <v>106983</v>
      </c>
      <c r="D550" s="313" t="e">
        <f>VLOOKUP(A550,#REF!,4,FALSE)</f>
        <v>#REF!</v>
      </c>
      <c r="E550" s="315" t="e">
        <f t="shared" si="8"/>
        <v>#REF!</v>
      </c>
    </row>
    <row r="551" spans="1:5" x14ac:dyDescent="0.2">
      <c r="A551" s="313">
        <v>1712004731</v>
      </c>
      <c r="B551" s="313" t="s">
        <v>104</v>
      </c>
      <c r="C551" s="314">
        <v>102745</v>
      </c>
      <c r="D551" s="313" t="e">
        <f>VLOOKUP(A551,#REF!,4,FALSE)</f>
        <v>#REF!</v>
      </c>
      <c r="E551" s="315" t="e">
        <f t="shared" si="8"/>
        <v>#REF!</v>
      </c>
    </row>
    <row r="552" spans="1:5" x14ac:dyDescent="0.2">
      <c r="A552" s="313">
        <v>1712005731</v>
      </c>
      <c r="B552" s="313" t="s">
        <v>1526</v>
      </c>
      <c r="C552" s="314">
        <v>136969</v>
      </c>
      <c r="D552" s="313" t="e">
        <f>VLOOKUP(A552,#REF!,4,FALSE)</f>
        <v>#REF!</v>
      </c>
      <c r="E552" s="315" t="e">
        <f t="shared" si="8"/>
        <v>#REF!</v>
      </c>
    </row>
    <row r="553" spans="1:5" x14ac:dyDescent="0.2">
      <c r="A553" s="313">
        <v>1712006731</v>
      </c>
      <c r="B553" s="313" t="s">
        <v>1525</v>
      </c>
      <c r="C553" s="314">
        <v>135597</v>
      </c>
      <c r="D553" s="313" t="e">
        <f>VLOOKUP(A553,#REF!,4,FALSE)</f>
        <v>#REF!</v>
      </c>
      <c r="E553" s="315" t="e">
        <f t="shared" si="8"/>
        <v>#REF!</v>
      </c>
    </row>
    <row r="554" spans="1:5" x14ac:dyDescent="0.2">
      <c r="A554" s="313">
        <v>1712200430</v>
      </c>
      <c r="B554" s="313" t="s">
        <v>1788</v>
      </c>
      <c r="C554" s="314">
        <v>65000</v>
      </c>
      <c r="D554" s="313" t="e">
        <f>VLOOKUP(A554,#REF!,4,FALSE)</f>
        <v>#REF!</v>
      </c>
      <c r="E554" s="315" t="e">
        <f t="shared" si="8"/>
        <v>#REF!</v>
      </c>
    </row>
    <row r="555" spans="1:5" x14ac:dyDescent="0.2">
      <c r="A555" s="313">
        <v>1712200751</v>
      </c>
      <c r="B555" s="313" t="s">
        <v>656</v>
      </c>
      <c r="C555" s="314">
        <v>9760000</v>
      </c>
      <c r="D555" s="313" t="e">
        <f>VLOOKUP(A555,#REF!,4,FALSE)</f>
        <v>#REF!</v>
      </c>
      <c r="E555" s="315" t="e">
        <f t="shared" si="8"/>
        <v>#REF!</v>
      </c>
    </row>
    <row r="556" spans="1:5" x14ac:dyDescent="0.2">
      <c r="A556" s="313">
        <v>1712200752</v>
      </c>
      <c r="B556" s="313" t="s">
        <v>657</v>
      </c>
      <c r="C556" s="314">
        <v>170000</v>
      </c>
      <c r="D556" s="313" t="e">
        <f>VLOOKUP(A556,#REF!,4,FALSE)</f>
        <v>#REF!</v>
      </c>
      <c r="E556" s="315" t="e">
        <f t="shared" si="8"/>
        <v>#REF!</v>
      </c>
    </row>
    <row r="557" spans="1:5" x14ac:dyDescent="0.2">
      <c r="A557" s="313">
        <v>1712200753</v>
      </c>
      <c r="B557" s="313" t="s">
        <v>658</v>
      </c>
      <c r="C557" s="314">
        <v>21700</v>
      </c>
      <c r="D557" s="313" t="e">
        <f>VLOOKUP(A557,#REF!,4,FALSE)</f>
        <v>#REF!</v>
      </c>
      <c r="E557" s="315" t="e">
        <f t="shared" si="8"/>
        <v>#REF!</v>
      </c>
    </row>
    <row r="558" spans="1:5" x14ac:dyDescent="0.2">
      <c r="A558" s="313">
        <v>1712200754</v>
      </c>
      <c r="B558" s="313" t="s">
        <v>1550</v>
      </c>
      <c r="C558" s="314">
        <v>445614</v>
      </c>
      <c r="D558" s="313" t="e">
        <f>VLOOKUP(A558,#REF!,4,FALSE)</f>
        <v>#REF!</v>
      </c>
      <c r="E558" s="315" t="e">
        <f t="shared" si="8"/>
        <v>#REF!</v>
      </c>
    </row>
    <row r="559" spans="1:5" x14ac:dyDescent="0.2">
      <c r="A559" s="313">
        <v>1712200755</v>
      </c>
      <c r="B559" s="313" t="s">
        <v>1643</v>
      </c>
      <c r="C559" s="314">
        <v>249584</v>
      </c>
      <c r="D559" s="313" t="e">
        <f>VLOOKUP(A559,#REF!,4,FALSE)</f>
        <v>#REF!</v>
      </c>
      <c r="E559" s="315" t="e">
        <f t="shared" si="8"/>
        <v>#REF!</v>
      </c>
    </row>
    <row r="560" spans="1:5" x14ac:dyDescent="0.2">
      <c r="A560" s="313">
        <v>1712201731</v>
      </c>
      <c r="B560" s="313" t="s">
        <v>659</v>
      </c>
      <c r="D560" s="313" t="e">
        <f>VLOOKUP(A560,#REF!,4,FALSE)</f>
        <v>#REF!</v>
      </c>
      <c r="E560" s="315" t="e">
        <f t="shared" si="8"/>
        <v>#REF!</v>
      </c>
    </row>
    <row r="561" spans="1:5" x14ac:dyDescent="0.2">
      <c r="A561" s="313">
        <v>1712210750</v>
      </c>
      <c r="B561" s="313" t="s">
        <v>75</v>
      </c>
      <c r="C561" s="314">
        <v>600000</v>
      </c>
      <c r="D561" s="313" t="e">
        <f>VLOOKUP(A561,#REF!,4,FALSE)</f>
        <v>#REF!</v>
      </c>
      <c r="E561" s="315" t="e">
        <f t="shared" si="8"/>
        <v>#REF!</v>
      </c>
    </row>
    <row r="562" spans="1:5" x14ac:dyDescent="0.2">
      <c r="A562" s="313">
        <v>1712210751</v>
      </c>
      <c r="B562" s="313" t="s">
        <v>1547</v>
      </c>
      <c r="C562" s="314">
        <v>318000</v>
      </c>
      <c r="D562" s="313" t="e">
        <f>VLOOKUP(A562,#REF!,4,FALSE)</f>
        <v>#REF!</v>
      </c>
      <c r="E562" s="315" t="e">
        <f t="shared" si="8"/>
        <v>#REF!</v>
      </c>
    </row>
    <row r="563" spans="1:5" x14ac:dyDescent="0.2">
      <c r="A563" s="313">
        <v>1712300560</v>
      </c>
      <c r="B563" s="313" t="s">
        <v>664</v>
      </c>
      <c r="C563" s="314">
        <v>1500</v>
      </c>
      <c r="D563" s="313" t="e">
        <f>VLOOKUP(A563,#REF!,4,FALSE)</f>
        <v>#REF!</v>
      </c>
      <c r="E563" s="315" t="e">
        <f t="shared" si="8"/>
        <v>#REF!</v>
      </c>
    </row>
    <row r="564" spans="1:5" x14ac:dyDescent="0.2">
      <c r="A564" s="313">
        <v>1712300740</v>
      </c>
      <c r="B564" s="313" t="s">
        <v>665</v>
      </c>
      <c r="D564" s="313" t="e">
        <f>VLOOKUP(A564,#REF!,4,FALSE)</f>
        <v>#REF!</v>
      </c>
      <c r="E564" s="315" t="e">
        <f t="shared" si="8"/>
        <v>#REF!</v>
      </c>
    </row>
    <row r="565" spans="1:5" x14ac:dyDescent="0.2">
      <c r="A565" s="313">
        <v>1712300750</v>
      </c>
      <c r="B565" s="313" t="s">
        <v>666</v>
      </c>
      <c r="C565" s="314">
        <v>8021968</v>
      </c>
      <c r="D565" s="313" t="e">
        <f>VLOOKUP(A565,#REF!,4,FALSE)</f>
        <v>#REF!</v>
      </c>
      <c r="E565" s="315" t="e">
        <f t="shared" si="8"/>
        <v>#REF!</v>
      </c>
    </row>
    <row r="566" spans="1:5" x14ac:dyDescent="0.2">
      <c r="A566" s="313">
        <v>1712300752</v>
      </c>
      <c r="B566" s="313" t="s">
        <v>668</v>
      </c>
      <c r="C566" s="314">
        <v>336000</v>
      </c>
      <c r="D566" s="313" t="e">
        <f>VLOOKUP(A566,#REF!,4,FALSE)</f>
        <v>#REF!</v>
      </c>
      <c r="E566" s="315" t="e">
        <f t="shared" si="8"/>
        <v>#REF!</v>
      </c>
    </row>
    <row r="567" spans="1:5" x14ac:dyDescent="0.2">
      <c r="A567" s="313">
        <v>1712300753</v>
      </c>
      <c r="B567" s="313" t="s">
        <v>669</v>
      </c>
      <c r="C567" s="314">
        <v>100000</v>
      </c>
      <c r="D567" s="313" t="e">
        <f>VLOOKUP(A567,#REF!,4,FALSE)</f>
        <v>#REF!</v>
      </c>
      <c r="E567" s="315" t="e">
        <f t="shared" si="8"/>
        <v>#REF!</v>
      </c>
    </row>
    <row r="568" spans="1:5" x14ac:dyDescent="0.2">
      <c r="A568" s="313">
        <v>1712300755</v>
      </c>
      <c r="B568" s="313" t="s">
        <v>671</v>
      </c>
      <c r="C568" s="314">
        <v>123190</v>
      </c>
      <c r="D568" s="313" t="e">
        <f>VLOOKUP(A568,#REF!,4,FALSE)</f>
        <v>#REF!</v>
      </c>
      <c r="E568" s="315" t="e">
        <f t="shared" si="8"/>
        <v>#REF!</v>
      </c>
    </row>
    <row r="569" spans="1:5" x14ac:dyDescent="0.2">
      <c r="A569" s="313">
        <v>1712300756</v>
      </c>
      <c r="B569" s="313" t="s">
        <v>1229</v>
      </c>
      <c r="C569" s="314">
        <v>87600</v>
      </c>
      <c r="D569" s="313" t="e">
        <f>VLOOKUP(A569,#REF!,4,FALSE)</f>
        <v>#REF!</v>
      </c>
      <c r="E569" s="315" t="e">
        <f t="shared" si="8"/>
        <v>#REF!</v>
      </c>
    </row>
    <row r="570" spans="1:5" x14ac:dyDescent="0.2">
      <c r="A570" s="313">
        <v>1712300757</v>
      </c>
      <c r="B570" s="313" t="s">
        <v>1523</v>
      </c>
      <c r="C570" s="314">
        <v>10000</v>
      </c>
      <c r="D570" s="313" t="e">
        <f>VLOOKUP(A570,#REF!,4,FALSE)</f>
        <v>#REF!</v>
      </c>
      <c r="E570" s="315" t="e">
        <f t="shared" si="8"/>
        <v>#REF!</v>
      </c>
    </row>
    <row r="571" spans="1:5" x14ac:dyDescent="0.2">
      <c r="A571" s="313">
        <v>1712303731</v>
      </c>
      <c r="B571" s="313" t="s">
        <v>672</v>
      </c>
      <c r="C571" s="314">
        <v>218197</v>
      </c>
      <c r="D571" s="313" t="e">
        <f>VLOOKUP(A571,#REF!,4,FALSE)</f>
        <v>#REF!</v>
      </c>
      <c r="E571" s="315" t="e">
        <f t="shared" si="8"/>
        <v>#REF!</v>
      </c>
    </row>
    <row r="572" spans="1:5" x14ac:dyDescent="0.2">
      <c r="A572" s="313">
        <v>1712304731</v>
      </c>
      <c r="B572" s="313" t="s">
        <v>673</v>
      </c>
      <c r="C572" s="314">
        <v>113685</v>
      </c>
      <c r="D572" s="313" t="e">
        <f>VLOOKUP(A572,#REF!,4,FALSE)</f>
        <v>#REF!</v>
      </c>
      <c r="E572" s="315" t="e">
        <f t="shared" si="8"/>
        <v>#REF!</v>
      </c>
    </row>
    <row r="573" spans="1:5" x14ac:dyDescent="0.2">
      <c r="A573" s="313">
        <v>1712305731</v>
      </c>
      <c r="B573" s="313" t="s">
        <v>110</v>
      </c>
      <c r="D573" s="313" t="e">
        <f>VLOOKUP(A573,#REF!,4,FALSE)</f>
        <v>#REF!</v>
      </c>
      <c r="E573" s="315" t="e">
        <f t="shared" si="8"/>
        <v>#REF!</v>
      </c>
    </row>
    <row r="574" spans="1:5" x14ac:dyDescent="0.2">
      <c r="A574" s="313">
        <v>1712306731</v>
      </c>
      <c r="B574" s="313" t="s">
        <v>1230</v>
      </c>
      <c r="D574" s="313" t="e">
        <f>VLOOKUP(A574,#REF!,4,FALSE)</f>
        <v>#REF!</v>
      </c>
      <c r="E574" s="315" t="e">
        <f t="shared" si="8"/>
        <v>#REF!</v>
      </c>
    </row>
    <row r="575" spans="1:5" x14ac:dyDescent="0.2">
      <c r="A575" s="313">
        <v>1712309530</v>
      </c>
      <c r="B575" s="313" t="s">
        <v>1522</v>
      </c>
      <c r="D575" s="313" t="e">
        <f>VLOOKUP(A575,#REF!,4,FALSE)</f>
        <v>#REF!</v>
      </c>
      <c r="E575" s="315" t="e">
        <f t="shared" si="8"/>
        <v>#REF!</v>
      </c>
    </row>
    <row r="576" spans="1:5" x14ac:dyDescent="0.2">
      <c r="A576" s="313">
        <v>1712311731</v>
      </c>
      <c r="B576" s="313" t="s">
        <v>677</v>
      </c>
      <c r="C576" s="314">
        <v>1647</v>
      </c>
      <c r="D576" s="313" t="e">
        <f>VLOOKUP(A576,#REF!,4,FALSE)</f>
        <v>#REF!</v>
      </c>
      <c r="E576" s="315" t="e">
        <f t="shared" si="8"/>
        <v>#REF!</v>
      </c>
    </row>
    <row r="577" spans="1:5" x14ac:dyDescent="0.2">
      <c r="A577" s="313">
        <v>1712312731</v>
      </c>
      <c r="B577" s="313" t="s">
        <v>678</v>
      </c>
      <c r="C577" s="314">
        <v>52813</v>
      </c>
      <c r="D577" s="313" t="e">
        <f>VLOOKUP(A577,#REF!,4,FALSE)</f>
        <v>#REF!</v>
      </c>
      <c r="E577" s="315" t="e">
        <f t="shared" si="8"/>
        <v>#REF!</v>
      </c>
    </row>
    <row r="578" spans="1:5" x14ac:dyDescent="0.2">
      <c r="A578" s="313">
        <v>1712314731</v>
      </c>
      <c r="B578" s="313" t="s">
        <v>679</v>
      </c>
      <c r="C578" s="314">
        <v>115229</v>
      </c>
      <c r="D578" s="313" t="e">
        <f>VLOOKUP(A578,#REF!,4,FALSE)</f>
        <v>#REF!</v>
      </c>
      <c r="E578" s="315" t="e">
        <f t="shared" si="8"/>
        <v>#REF!</v>
      </c>
    </row>
    <row r="579" spans="1:5" x14ac:dyDescent="0.2">
      <c r="A579" s="313">
        <v>1712316731</v>
      </c>
      <c r="B579" s="313" t="s">
        <v>680</v>
      </c>
      <c r="C579" s="314">
        <v>135751</v>
      </c>
      <c r="D579" s="313" t="e">
        <f>VLOOKUP(A579,#REF!,4,FALSE)</f>
        <v>#REF!</v>
      </c>
      <c r="E579" s="315" t="e">
        <f t="shared" si="8"/>
        <v>#REF!</v>
      </c>
    </row>
    <row r="580" spans="1:5" x14ac:dyDescent="0.2">
      <c r="A580" s="313">
        <v>1712400530</v>
      </c>
      <c r="B580" s="313" t="s">
        <v>1519</v>
      </c>
      <c r="C580" s="314">
        <v>108411</v>
      </c>
      <c r="D580" s="313" t="e">
        <f>VLOOKUP(A580,#REF!,4,FALSE)</f>
        <v>#REF!</v>
      </c>
      <c r="E580" s="315" t="e">
        <f t="shared" si="8"/>
        <v>#REF!</v>
      </c>
    </row>
    <row r="581" spans="1:5" x14ac:dyDescent="0.2">
      <c r="A581" s="313">
        <v>1712409530</v>
      </c>
      <c r="B581" s="313" t="s">
        <v>1790</v>
      </c>
      <c r="C581" s="314">
        <v>12958</v>
      </c>
      <c r="D581" s="313" t="e">
        <f>VLOOKUP(A581,#REF!,4,FALSE)</f>
        <v>#REF!</v>
      </c>
      <c r="E581" s="315" t="e">
        <f t="shared" si="8"/>
        <v>#REF!</v>
      </c>
    </row>
    <row r="582" spans="1:5" x14ac:dyDescent="0.2">
      <c r="A582" s="313">
        <v>1712409731</v>
      </c>
      <c r="B582" s="313" t="s">
        <v>1518</v>
      </c>
      <c r="D582" s="313" t="e">
        <f>VLOOKUP(A582,#REF!,4,FALSE)</f>
        <v>#REF!</v>
      </c>
      <c r="E582" s="315" t="e">
        <f t="shared" ref="E582:E645" si="9">C582-D582</f>
        <v>#REF!</v>
      </c>
    </row>
    <row r="583" spans="1:5" x14ac:dyDescent="0.2">
      <c r="A583" s="313">
        <v>1712500750</v>
      </c>
      <c r="B583" s="313" t="s">
        <v>682</v>
      </c>
      <c r="C583" s="314">
        <v>3894667</v>
      </c>
      <c r="D583" s="313" t="e">
        <f>VLOOKUP(A583,#REF!,4,FALSE)</f>
        <v>#REF!</v>
      </c>
      <c r="E583" s="315" t="e">
        <f t="shared" si="9"/>
        <v>#REF!</v>
      </c>
    </row>
    <row r="584" spans="1:5" x14ac:dyDescent="0.2">
      <c r="A584" s="313">
        <v>1712500751</v>
      </c>
      <c r="B584" s="313" t="s">
        <v>683</v>
      </c>
      <c r="C584" s="314">
        <v>519404</v>
      </c>
      <c r="D584" s="313" t="e">
        <f>VLOOKUP(A584,#REF!,4,FALSE)</f>
        <v>#REF!</v>
      </c>
      <c r="E584" s="315" t="e">
        <f t="shared" si="9"/>
        <v>#REF!</v>
      </c>
    </row>
    <row r="585" spans="1:5" x14ac:dyDescent="0.2">
      <c r="A585" s="313">
        <v>1712500780</v>
      </c>
      <c r="B585" s="313" t="s">
        <v>1933</v>
      </c>
      <c r="C585" s="314">
        <v>40000</v>
      </c>
      <c r="D585" s="313" t="e">
        <f>VLOOKUP(A585,#REF!,4,FALSE)</f>
        <v>#REF!</v>
      </c>
      <c r="E585" s="315" t="e">
        <f t="shared" si="9"/>
        <v>#REF!</v>
      </c>
    </row>
    <row r="586" spans="1:5" x14ac:dyDescent="0.2">
      <c r="A586" s="313">
        <v>1712501731</v>
      </c>
      <c r="B586" s="313" t="s">
        <v>684</v>
      </c>
      <c r="C586" s="314">
        <v>12827</v>
      </c>
      <c r="D586" s="313" t="e">
        <f>VLOOKUP(A586,#REF!,4,FALSE)</f>
        <v>#REF!</v>
      </c>
      <c r="E586" s="315" t="e">
        <f t="shared" si="9"/>
        <v>#REF!</v>
      </c>
    </row>
    <row r="587" spans="1:5" x14ac:dyDescent="0.2">
      <c r="A587" s="313">
        <v>1712503731</v>
      </c>
      <c r="B587" s="313" t="s">
        <v>1616</v>
      </c>
      <c r="C587" s="314">
        <v>0</v>
      </c>
      <c r="D587" s="313" t="e">
        <f>VLOOKUP(A587,#REF!,4,FALSE)</f>
        <v>#REF!</v>
      </c>
      <c r="E587" s="315" t="e">
        <f t="shared" si="9"/>
        <v>#REF!</v>
      </c>
    </row>
    <row r="588" spans="1:5" x14ac:dyDescent="0.2">
      <c r="A588" s="313">
        <v>1712504731</v>
      </c>
      <c r="B588" s="313" t="s">
        <v>2059</v>
      </c>
      <c r="E588" s="316">
        <f t="shared" si="9"/>
        <v>0</v>
      </c>
    </row>
    <row r="589" spans="1:5" x14ac:dyDescent="0.2">
      <c r="A589" s="313">
        <v>1712506731</v>
      </c>
      <c r="B589" s="313" t="s">
        <v>2060</v>
      </c>
      <c r="C589" s="314">
        <v>78586</v>
      </c>
      <c r="D589" s="313" t="e">
        <f>VLOOKUP(A589,#REF!,4,FALSE)</f>
        <v>#REF!</v>
      </c>
      <c r="E589" s="316" t="e">
        <f t="shared" si="9"/>
        <v>#REF!</v>
      </c>
    </row>
    <row r="590" spans="1:5" x14ac:dyDescent="0.2">
      <c r="A590" s="313">
        <v>1712509530</v>
      </c>
      <c r="B590" s="313" t="s">
        <v>1793</v>
      </c>
      <c r="D590" s="313" t="e">
        <f>VLOOKUP(A590,#REF!,4,FALSE)</f>
        <v>#REF!</v>
      </c>
      <c r="E590" s="315" t="e">
        <f t="shared" si="9"/>
        <v>#REF!</v>
      </c>
    </row>
    <row r="591" spans="1:5" x14ac:dyDescent="0.2">
      <c r="A591" s="313">
        <v>1712600731</v>
      </c>
      <c r="B591" s="313" t="s">
        <v>1794</v>
      </c>
      <c r="C591" s="314">
        <v>10411</v>
      </c>
      <c r="D591" s="313" t="e">
        <f>VLOOKUP(A591,#REF!,4,FALSE)</f>
        <v>#REF!</v>
      </c>
      <c r="E591" s="315" t="e">
        <f t="shared" si="9"/>
        <v>#REF!</v>
      </c>
    </row>
    <row r="592" spans="1:5" x14ac:dyDescent="0.2">
      <c r="A592" s="313">
        <v>1712800731</v>
      </c>
      <c r="B592" s="313" t="s">
        <v>1795</v>
      </c>
      <c r="C592" s="314">
        <v>9851</v>
      </c>
      <c r="D592" s="313" t="e">
        <f>VLOOKUP(A592,#REF!,4,FALSE)</f>
        <v>#REF!</v>
      </c>
      <c r="E592" s="315" t="e">
        <f t="shared" si="9"/>
        <v>#REF!</v>
      </c>
    </row>
    <row r="593" spans="1:5" x14ac:dyDescent="0.2">
      <c r="A593" s="313">
        <v>1713000731</v>
      </c>
      <c r="B593" s="313" t="s">
        <v>686</v>
      </c>
      <c r="C593" s="314">
        <v>48994</v>
      </c>
      <c r="D593" s="313" t="e">
        <f>VLOOKUP(A593,#REF!,4,FALSE)</f>
        <v>#REF!</v>
      </c>
      <c r="E593" s="315" t="e">
        <f t="shared" si="9"/>
        <v>#REF!</v>
      </c>
    </row>
    <row r="594" spans="1:5" x14ac:dyDescent="0.2">
      <c r="A594" s="313">
        <v>1713001731</v>
      </c>
      <c r="B594" s="313" t="s">
        <v>1450</v>
      </c>
      <c r="D594" s="313" t="e">
        <f>VLOOKUP(A594,#REF!,4,FALSE)</f>
        <v>#REF!</v>
      </c>
      <c r="E594" s="315" t="e">
        <f t="shared" si="9"/>
        <v>#REF!</v>
      </c>
    </row>
    <row r="595" spans="1:5" x14ac:dyDescent="0.2">
      <c r="A595" s="313">
        <v>1713002731</v>
      </c>
      <c r="B595" s="313" t="s">
        <v>1451</v>
      </c>
      <c r="C595" s="314">
        <v>2256</v>
      </c>
      <c r="D595" s="313" t="e">
        <f>VLOOKUP(A595,#REF!,4,FALSE)</f>
        <v>#REF!</v>
      </c>
      <c r="E595" s="315" t="e">
        <f t="shared" si="9"/>
        <v>#REF!</v>
      </c>
    </row>
    <row r="596" spans="1:5" x14ac:dyDescent="0.2">
      <c r="A596" s="313">
        <v>1714200560</v>
      </c>
      <c r="B596" s="313" t="s">
        <v>687</v>
      </c>
      <c r="C596" s="314">
        <v>500</v>
      </c>
      <c r="D596" s="313" t="e">
        <f>VLOOKUP(A596,#REF!,4,FALSE)</f>
        <v>#REF!</v>
      </c>
      <c r="E596" s="315" t="e">
        <f t="shared" si="9"/>
        <v>#REF!</v>
      </c>
    </row>
    <row r="597" spans="1:5" x14ac:dyDescent="0.2">
      <c r="A597" s="313">
        <v>1714200580</v>
      </c>
      <c r="B597" s="313" t="s">
        <v>688</v>
      </c>
      <c r="C597" s="314">
        <v>284200</v>
      </c>
      <c r="D597" s="313" t="e">
        <f>VLOOKUP(A597,#REF!,4,FALSE)</f>
        <v>#REF!</v>
      </c>
      <c r="E597" s="315" t="e">
        <f t="shared" si="9"/>
        <v>#REF!</v>
      </c>
    </row>
    <row r="598" spans="1:5" x14ac:dyDescent="0.2">
      <c r="A598" s="313">
        <v>1714200581</v>
      </c>
      <c r="B598" s="313" t="s">
        <v>1796</v>
      </c>
      <c r="C598" s="314">
        <v>1440</v>
      </c>
      <c r="D598" s="313" t="e">
        <f>VLOOKUP(A598,#REF!,4,FALSE)</f>
        <v>#REF!</v>
      </c>
      <c r="E598" s="315" t="e">
        <f t="shared" si="9"/>
        <v>#REF!</v>
      </c>
    </row>
    <row r="599" spans="1:5" x14ac:dyDescent="0.2">
      <c r="A599" s="313">
        <v>1714200720</v>
      </c>
      <c r="B599" s="313" t="s">
        <v>689</v>
      </c>
      <c r="C599" s="314">
        <v>57098</v>
      </c>
      <c r="D599" s="313" t="e">
        <f>VLOOKUP(A599,#REF!,4,FALSE)</f>
        <v>#REF!</v>
      </c>
      <c r="E599" s="315" t="e">
        <f t="shared" si="9"/>
        <v>#REF!</v>
      </c>
    </row>
    <row r="600" spans="1:5" x14ac:dyDescent="0.2">
      <c r="A600" s="313">
        <v>1714200731</v>
      </c>
      <c r="B600" s="313" t="s">
        <v>1517</v>
      </c>
      <c r="C600" s="314">
        <v>26920</v>
      </c>
      <c r="D600" s="313" t="e">
        <f>VLOOKUP(A600,#REF!,4,FALSE)</f>
        <v>#REF!</v>
      </c>
      <c r="E600" s="315" t="e">
        <f t="shared" si="9"/>
        <v>#REF!</v>
      </c>
    </row>
    <row r="601" spans="1:5" x14ac:dyDescent="0.2">
      <c r="A601" s="313">
        <v>1714200781</v>
      </c>
      <c r="B601" s="313" t="s">
        <v>691</v>
      </c>
      <c r="D601" s="313" t="e">
        <f>VLOOKUP(A601,#REF!,4,FALSE)</f>
        <v>#REF!</v>
      </c>
      <c r="E601" s="315" t="e">
        <f t="shared" si="9"/>
        <v>#REF!</v>
      </c>
    </row>
    <row r="602" spans="1:5" x14ac:dyDescent="0.2">
      <c r="A602" s="313">
        <v>1714300731</v>
      </c>
      <c r="B602" s="313" t="s">
        <v>692</v>
      </c>
      <c r="C602" s="314">
        <v>1647</v>
      </c>
      <c r="D602" s="313" t="e">
        <f>VLOOKUP(A602,#REF!,4,FALSE)</f>
        <v>#REF!</v>
      </c>
      <c r="E602" s="315" t="e">
        <f t="shared" si="9"/>
        <v>#REF!</v>
      </c>
    </row>
    <row r="603" spans="1:5" x14ac:dyDescent="0.2">
      <c r="A603" s="313">
        <v>1714300750</v>
      </c>
      <c r="B603" s="313" t="s">
        <v>693</v>
      </c>
      <c r="D603" s="313" t="e">
        <f>VLOOKUP(A603,#REF!,4,FALSE)</f>
        <v>#REF!</v>
      </c>
      <c r="E603" s="315" t="e">
        <f t="shared" si="9"/>
        <v>#REF!</v>
      </c>
    </row>
    <row r="604" spans="1:5" x14ac:dyDescent="0.2">
      <c r="A604" s="313">
        <v>1714300830</v>
      </c>
      <c r="B604" s="313" t="s">
        <v>694</v>
      </c>
      <c r="C604" s="314">
        <v>53000</v>
      </c>
      <c r="D604" s="313" t="e">
        <f>VLOOKUP(A604,#REF!,4,FALSE)</f>
        <v>#REF!</v>
      </c>
      <c r="E604" s="315" t="e">
        <f t="shared" si="9"/>
        <v>#REF!</v>
      </c>
    </row>
    <row r="605" spans="1:5" x14ac:dyDescent="0.2">
      <c r="A605" s="313">
        <v>1715200511</v>
      </c>
      <c r="B605" s="313" t="s">
        <v>1797</v>
      </c>
      <c r="C605" s="314">
        <v>1073.68</v>
      </c>
      <c r="D605" s="313" t="e">
        <f>VLOOKUP(A605,#REF!,4,FALSE)</f>
        <v>#REF!</v>
      </c>
      <c r="E605" s="315" t="e">
        <f t="shared" si="9"/>
        <v>#REF!</v>
      </c>
    </row>
    <row r="606" spans="1:5" x14ac:dyDescent="0.2">
      <c r="A606" s="313">
        <v>1715200512</v>
      </c>
      <c r="B606" s="313" t="s">
        <v>1798</v>
      </c>
      <c r="C606" s="314">
        <v>1500</v>
      </c>
      <c r="D606" s="313" t="e">
        <f>VLOOKUP(A606,#REF!,4,FALSE)</f>
        <v>#REF!</v>
      </c>
      <c r="E606" s="315" t="e">
        <f t="shared" si="9"/>
        <v>#REF!</v>
      </c>
    </row>
    <row r="607" spans="1:5" x14ac:dyDescent="0.2">
      <c r="A607" s="313">
        <v>1715200570</v>
      </c>
      <c r="B607" s="313" t="s">
        <v>1799</v>
      </c>
      <c r="C607" s="314">
        <v>1755</v>
      </c>
      <c r="D607" s="313" t="e">
        <f>VLOOKUP(A607,#REF!,4,FALSE)</f>
        <v>#REF!</v>
      </c>
      <c r="E607" s="315" t="e">
        <f t="shared" si="9"/>
        <v>#REF!</v>
      </c>
    </row>
    <row r="608" spans="1:5" x14ac:dyDescent="0.2">
      <c r="A608" s="313">
        <v>1715200720</v>
      </c>
      <c r="B608" s="313" t="s">
        <v>689</v>
      </c>
      <c r="C608" s="314">
        <v>37671.32</v>
      </c>
      <c r="D608" s="313" t="e">
        <f>VLOOKUP(A608,#REF!,4,FALSE)</f>
        <v>#REF!</v>
      </c>
      <c r="E608" s="315" t="e">
        <f t="shared" si="9"/>
        <v>#REF!</v>
      </c>
    </row>
    <row r="609" spans="1:5" x14ac:dyDescent="0.2">
      <c r="A609" s="313">
        <v>1715200780</v>
      </c>
      <c r="B609" s="313" t="s">
        <v>835</v>
      </c>
      <c r="C609" s="314">
        <v>2000</v>
      </c>
      <c r="D609" s="313" t="e">
        <f>VLOOKUP(A609,#REF!,4,FALSE)</f>
        <v>#REF!</v>
      </c>
      <c r="E609" s="315" t="e">
        <f t="shared" si="9"/>
        <v>#REF!</v>
      </c>
    </row>
    <row r="610" spans="1:5" x14ac:dyDescent="0.2">
      <c r="A610" s="313">
        <v>1715300750</v>
      </c>
      <c r="B610" s="313" t="s">
        <v>695</v>
      </c>
      <c r="C610" s="314">
        <v>54756</v>
      </c>
      <c r="D610" s="313" t="e">
        <f>VLOOKUP(A610,#REF!,4,FALSE)</f>
        <v>#REF!</v>
      </c>
      <c r="E610" s="315" t="e">
        <f t="shared" si="9"/>
        <v>#REF!</v>
      </c>
    </row>
    <row r="611" spans="1:5" x14ac:dyDescent="0.2">
      <c r="A611" s="313">
        <v>1722000430</v>
      </c>
      <c r="B611" s="313" t="s">
        <v>696</v>
      </c>
      <c r="C611" s="314">
        <v>37000</v>
      </c>
      <c r="D611" s="313" t="e">
        <f>VLOOKUP(A611,#REF!,4,FALSE)</f>
        <v>#REF!</v>
      </c>
      <c r="E611" s="315" t="e">
        <f t="shared" si="9"/>
        <v>#REF!</v>
      </c>
    </row>
    <row r="612" spans="1:5" x14ac:dyDescent="0.2">
      <c r="A612" s="313">
        <v>1722000511</v>
      </c>
      <c r="B612" s="313" t="s">
        <v>697</v>
      </c>
      <c r="C612" s="314">
        <v>4450</v>
      </c>
      <c r="D612" s="313" t="e">
        <f>VLOOKUP(A612,#REF!,4,FALSE)</f>
        <v>#REF!</v>
      </c>
      <c r="E612" s="315" t="e">
        <f t="shared" si="9"/>
        <v>#REF!</v>
      </c>
    </row>
    <row r="613" spans="1:5" x14ac:dyDescent="0.2">
      <c r="A613" s="313">
        <v>1722000530</v>
      </c>
      <c r="B613" s="313" t="s">
        <v>700</v>
      </c>
      <c r="D613" s="313" t="e">
        <f>VLOOKUP(A613,#REF!,4,FALSE)</f>
        <v>#REF!</v>
      </c>
      <c r="E613" s="315" t="e">
        <f t="shared" si="9"/>
        <v>#REF!</v>
      </c>
    </row>
    <row r="614" spans="1:5" x14ac:dyDescent="0.2">
      <c r="A614" s="313">
        <v>1722000540</v>
      </c>
      <c r="B614" s="313" t="s">
        <v>698</v>
      </c>
      <c r="C614" s="314">
        <v>55280</v>
      </c>
      <c r="D614" s="313" t="e">
        <f>VLOOKUP(A614,#REF!,4,FALSE)</f>
        <v>#REF!</v>
      </c>
      <c r="E614" s="315" t="e">
        <f t="shared" si="9"/>
        <v>#REF!</v>
      </c>
    </row>
    <row r="615" spans="1:5" x14ac:dyDescent="0.2">
      <c r="A615" s="313">
        <v>1722000550</v>
      </c>
      <c r="B615" s="313" t="s">
        <v>699</v>
      </c>
      <c r="C615" s="314">
        <v>12050</v>
      </c>
      <c r="D615" s="313" t="e">
        <f>VLOOKUP(A615,#REF!,4,FALSE)</f>
        <v>#REF!</v>
      </c>
      <c r="E615" s="315" t="e">
        <f t="shared" si="9"/>
        <v>#REF!</v>
      </c>
    </row>
    <row r="616" spans="1:5" x14ac:dyDescent="0.2">
      <c r="A616" s="313">
        <v>1722000560</v>
      </c>
      <c r="B616" s="313" t="s">
        <v>820</v>
      </c>
      <c r="C616" s="314">
        <v>2500</v>
      </c>
      <c r="D616" s="313" t="e">
        <f>VLOOKUP(A616,#REF!,4,FALSE)</f>
        <v>#REF!</v>
      </c>
      <c r="E616" s="315" t="e">
        <f t="shared" si="9"/>
        <v>#REF!</v>
      </c>
    </row>
    <row r="617" spans="1:5" x14ac:dyDescent="0.2">
      <c r="A617" s="313">
        <v>1722000581</v>
      </c>
      <c r="B617" s="313" t="s">
        <v>1800</v>
      </c>
      <c r="C617" s="314">
        <v>660</v>
      </c>
      <c r="D617" s="313" t="e">
        <f>VLOOKUP(A617,#REF!,4,FALSE)</f>
        <v>#REF!</v>
      </c>
      <c r="E617" s="315" t="e">
        <f t="shared" si="9"/>
        <v>#REF!</v>
      </c>
    </row>
    <row r="618" spans="1:5" x14ac:dyDescent="0.2">
      <c r="A618" s="313">
        <v>1722000750</v>
      </c>
      <c r="B618" s="313" t="s">
        <v>701</v>
      </c>
      <c r="C618" s="314">
        <v>200000</v>
      </c>
      <c r="D618" s="313" t="e">
        <f>VLOOKUP(A618,#REF!,4,FALSE)</f>
        <v>#REF!</v>
      </c>
      <c r="E618" s="315" t="e">
        <f t="shared" si="9"/>
        <v>#REF!</v>
      </c>
    </row>
    <row r="619" spans="1:5" x14ac:dyDescent="0.2">
      <c r="A619" s="313">
        <v>1722000751</v>
      </c>
      <c r="B619" s="313" t="s">
        <v>702</v>
      </c>
      <c r="C619" s="314">
        <v>121348</v>
      </c>
      <c r="D619" s="313" t="e">
        <f>VLOOKUP(A619,#REF!,4,FALSE)</f>
        <v>#REF!</v>
      </c>
      <c r="E619" s="315" t="e">
        <f t="shared" si="9"/>
        <v>#REF!</v>
      </c>
    </row>
    <row r="620" spans="1:5" x14ac:dyDescent="0.2">
      <c r="A620" s="313">
        <v>1722000753</v>
      </c>
      <c r="B620" s="313" t="s">
        <v>1515</v>
      </c>
      <c r="C620" s="314">
        <v>230000</v>
      </c>
      <c r="D620" s="313" t="e">
        <f>VLOOKUP(A620,#REF!,4,FALSE)</f>
        <v>#REF!</v>
      </c>
      <c r="E620" s="315" t="e">
        <f t="shared" si="9"/>
        <v>#REF!</v>
      </c>
    </row>
    <row r="621" spans="1:5" x14ac:dyDescent="0.2">
      <c r="A621" s="313">
        <v>1722000754</v>
      </c>
      <c r="B621" s="313" t="s">
        <v>1609</v>
      </c>
      <c r="C621" s="314">
        <v>468000</v>
      </c>
      <c r="D621" s="313" t="e">
        <f>VLOOKUP(A621,#REF!,4,FALSE)</f>
        <v>#REF!</v>
      </c>
      <c r="E621" s="315" t="e">
        <f t="shared" si="9"/>
        <v>#REF!</v>
      </c>
    </row>
    <row r="622" spans="1:5" x14ac:dyDescent="0.2">
      <c r="A622" s="313">
        <v>1722000755</v>
      </c>
      <c r="B622" s="313" t="s">
        <v>1642</v>
      </c>
      <c r="C622" s="314">
        <v>249201</v>
      </c>
      <c r="D622" s="313" t="e">
        <f>VLOOKUP(A622,#REF!,4,FALSE)</f>
        <v>#REF!</v>
      </c>
      <c r="E622" s="315" t="e">
        <f t="shared" si="9"/>
        <v>#REF!</v>
      </c>
    </row>
    <row r="623" spans="1:5" x14ac:dyDescent="0.2">
      <c r="A623" s="313">
        <v>1722000757</v>
      </c>
      <c r="B623" s="313" t="s">
        <v>1942</v>
      </c>
      <c r="C623" s="314">
        <v>50000</v>
      </c>
      <c r="D623" s="313" t="e">
        <f>VLOOKUP(A623,#REF!,4,FALSE)</f>
        <v>#REF!</v>
      </c>
      <c r="E623" s="315" t="e">
        <f t="shared" si="9"/>
        <v>#REF!</v>
      </c>
    </row>
    <row r="624" spans="1:5" x14ac:dyDescent="0.2">
      <c r="A624" s="313">
        <v>1722000910</v>
      </c>
      <c r="B624" s="313" t="s">
        <v>1148</v>
      </c>
      <c r="C624" s="314">
        <v>1994084</v>
      </c>
      <c r="D624" s="313" t="e">
        <f>VLOOKUP(A624,#REF!,4,FALSE)</f>
        <v>#REF!</v>
      </c>
      <c r="E624" s="315" t="e">
        <f t="shared" si="9"/>
        <v>#REF!</v>
      </c>
    </row>
    <row r="625" spans="1:5" x14ac:dyDescent="0.2">
      <c r="A625" s="313">
        <v>1722000930</v>
      </c>
      <c r="B625" s="313" t="s">
        <v>1803</v>
      </c>
      <c r="D625" s="313" t="e">
        <f>VLOOKUP(A625,#REF!,4,FALSE)</f>
        <v>#REF!</v>
      </c>
      <c r="E625" s="315" t="e">
        <f t="shared" si="9"/>
        <v>#REF!</v>
      </c>
    </row>
    <row r="626" spans="1:5" x14ac:dyDescent="0.2">
      <c r="A626" s="313">
        <v>1722000980</v>
      </c>
      <c r="B626" s="313" t="s">
        <v>580</v>
      </c>
      <c r="C626" s="314">
        <v>2840</v>
      </c>
      <c r="D626" s="313" t="e">
        <f>VLOOKUP(A626,#REF!,4,FALSE)</f>
        <v>#REF!</v>
      </c>
      <c r="E626" s="315" t="e">
        <f t="shared" si="9"/>
        <v>#REF!</v>
      </c>
    </row>
    <row r="627" spans="1:5" x14ac:dyDescent="0.2">
      <c r="A627" s="313">
        <v>1722001731</v>
      </c>
      <c r="B627" s="313" t="s">
        <v>1804</v>
      </c>
      <c r="C627" s="314">
        <v>14301</v>
      </c>
      <c r="D627" s="313" t="e">
        <f>VLOOKUP(A627,#REF!,4,FALSE)</f>
        <v>#REF!</v>
      </c>
      <c r="E627" s="315" t="e">
        <f t="shared" si="9"/>
        <v>#REF!</v>
      </c>
    </row>
    <row r="628" spans="1:5" x14ac:dyDescent="0.2">
      <c r="A628" s="313">
        <v>1722002530</v>
      </c>
      <c r="B628" s="313" t="s">
        <v>1456</v>
      </c>
      <c r="C628" s="314">
        <v>112585</v>
      </c>
      <c r="D628" s="313" t="e">
        <f>VLOOKUP(A628,#REF!,4,FALSE)</f>
        <v>#REF!</v>
      </c>
      <c r="E628" s="315" t="e">
        <f t="shared" si="9"/>
        <v>#REF!</v>
      </c>
    </row>
    <row r="629" spans="1:5" x14ac:dyDescent="0.2">
      <c r="A629" s="313">
        <v>1722002731</v>
      </c>
      <c r="B629" s="313" t="s">
        <v>1514</v>
      </c>
      <c r="D629" s="313" t="e">
        <f>VLOOKUP(A629,#REF!,4,FALSE)</f>
        <v>#REF!</v>
      </c>
      <c r="E629" s="315" t="e">
        <f t="shared" si="9"/>
        <v>#REF!</v>
      </c>
    </row>
    <row r="630" spans="1:5" x14ac:dyDescent="0.2">
      <c r="A630" s="313">
        <v>1722003530</v>
      </c>
      <c r="B630" s="313" t="s">
        <v>1457</v>
      </c>
      <c r="C630" s="314">
        <v>87701</v>
      </c>
      <c r="D630" s="313" t="e">
        <f>VLOOKUP(A630,#REF!,4,FALSE)</f>
        <v>#REF!</v>
      </c>
      <c r="E630" s="315" t="e">
        <f t="shared" si="9"/>
        <v>#REF!</v>
      </c>
    </row>
    <row r="631" spans="1:5" x14ac:dyDescent="0.2">
      <c r="A631" s="313">
        <v>1722003731</v>
      </c>
      <c r="B631" s="313" t="s">
        <v>1513</v>
      </c>
      <c r="D631" s="313" t="e">
        <f>VLOOKUP(A631,#REF!,4,FALSE)</f>
        <v>#REF!</v>
      </c>
      <c r="E631" s="315" t="e">
        <f t="shared" si="9"/>
        <v>#REF!</v>
      </c>
    </row>
    <row r="632" spans="1:5" x14ac:dyDescent="0.2">
      <c r="A632" s="313">
        <v>1722004731</v>
      </c>
      <c r="B632" s="313" t="s">
        <v>1805</v>
      </c>
      <c r="C632" s="314">
        <v>13301</v>
      </c>
      <c r="D632" s="313" t="e">
        <f>VLOOKUP(A632,#REF!,4,FALSE)</f>
        <v>#REF!</v>
      </c>
      <c r="E632" s="315" t="e">
        <f t="shared" si="9"/>
        <v>#REF!</v>
      </c>
    </row>
    <row r="633" spans="1:5" x14ac:dyDescent="0.2">
      <c r="A633" s="313">
        <v>1722005731</v>
      </c>
      <c r="B633" s="313" t="s">
        <v>1806</v>
      </c>
      <c r="C633" s="314">
        <v>16431</v>
      </c>
      <c r="D633" s="313" t="e">
        <f>VLOOKUP(A633,#REF!,4,FALSE)</f>
        <v>#REF!</v>
      </c>
      <c r="E633" s="315" t="e">
        <f t="shared" si="9"/>
        <v>#REF!</v>
      </c>
    </row>
    <row r="634" spans="1:5" x14ac:dyDescent="0.2">
      <c r="A634" s="313">
        <v>1722006731</v>
      </c>
      <c r="B634" s="313" t="s">
        <v>1807</v>
      </c>
      <c r="C634" s="314">
        <v>21371</v>
      </c>
      <c r="D634" s="313" t="e">
        <f>VLOOKUP(A634,#REF!,4,FALSE)</f>
        <v>#REF!</v>
      </c>
      <c r="E634" s="315" t="e">
        <f t="shared" si="9"/>
        <v>#REF!</v>
      </c>
    </row>
    <row r="635" spans="1:5" x14ac:dyDescent="0.2">
      <c r="A635" s="313">
        <v>1722008731</v>
      </c>
      <c r="B635" s="313" t="s">
        <v>1330</v>
      </c>
      <c r="C635" s="314">
        <v>44670</v>
      </c>
      <c r="D635" s="313" t="e">
        <f>VLOOKUP(A635,#REF!,4,FALSE)</f>
        <v>#REF!</v>
      </c>
      <c r="E635" s="315" t="e">
        <f t="shared" si="9"/>
        <v>#REF!</v>
      </c>
    </row>
    <row r="636" spans="1:5" x14ac:dyDescent="0.2">
      <c r="A636" s="313">
        <v>1722009731</v>
      </c>
      <c r="B636" s="313" t="s">
        <v>1610</v>
      </c>
      <c r="C636" s="314">
        <v>27239</v>
      </c>
      <c r="D636" s="313" t="e">
        <f>VLOOKUP(A636,#REF!,4,FALSE)</f>
        <v>#REF!</v>
      </c>
      <c r="E636" s="315" t="e">
        <f t="shared" si="9"/>
        <v>#REF!</v>
      </c>
    </row>
    <row r="637" spans="1:5" x14ac:dyDescent="0.2">
      <c r="A637" s="313">
        <v>1722100530</v>
      </c>
      <c r="B637" s="313" t="s">
        <v>1611</v>
      </c>
      <c r="C637" s="314">
        <v>55344</v>
      </c>
      <c r="D637" s="313" t="e">
        <f>VLOOKUP(A637,#REF!,4,FALSE)</f>
        <v>#REF!</v>
      </c>
      <c r="E637" s="315" t="e">
        <f t="shared" si="9"/>
        <v>#REF!</v>
      </c>
    </row>
    <row r="638" spans="1:5" x14ac:dyDescent="0.2">
      <c r="A638" s="313">
        <v>1722100780</v>
      </c>
      <c r="B638" s="313" t="s">
        <v>580</v>
      </c>
      <c r="D638" s="313" t="e">
        <f>VLOOKUP(A638,#REF!,4,FALSE)</f>
        <v>#REF!</v>
      </c>
      <c r="E638" s="315" t="e">
        <f t="shared" si="9"/>
        <v>#REF!</v>
      </c>
    </row>
    <row r="639" spans="1:5" x14ac:dyDescent="0.2">
      <c r="A639" s="313">
        <v>1723000420</v>
      </c>
      <c r="B639" s="313" t="s">
        <v>712</v>
      </c>
      <c r="C639" s="314">
        <v>85140</v>
      </c>
      <c r="D639" s="313" t="e">
        <f>VLOOKUP(A639,#REF!,4,FALSE)</f>
        <v>#REF!</v>
      </c>
      <c r="E639" s="315" t="e">
        <f t="shared" si="9"/>
        <v>#REF!</v>
      </c>
    </row>
    <row r="640" spans="1:5" x14ac:dyDescent="0.2">
      <c r="A640" s="313">
        <v>1723000430</v>
      </c>
      <c r="B640" s="313" t="s">
        <v>713</v>
      </c>
      <c r="C640" s="314">
        <v>39281</v>
      </c>
      <c r="D640" s="313" t="e">
        <f>VLOOKUP(A640,#REF!,4,FALSE)</f>
        <v>#REF!</v>
      </c>
      <c r="E640" s="315" t="e">
        <f t="shared" si="9"/>
        <v>#REF!</v>
      </c>
    </row>
    <row r="641" spans="1:5" x14ac:dyDescent="0.2">
      <c r="A641" s="313">
        <v>1723000731</v>
      </c>
      <c r="B641" s="313" t="s">
        <v>1332</v>
      </c>
      <c r="C641" s="314">
        <v>17131</v>
      </c>
      <c r="D641" s="313" t="e">
        <f>VLOOKUP(A641,#REF!,4,FALSE)</f>
        <v>#REF!</v>
      </c>
      <c r="E641" s="315" t="e">
        <f t="shared" si="9"/>
        <v>#REF!</v>
      </c>
    </row>
    <row r="642" spans="1:5" x14ac:dyDescent="0.2">
      <c r="A642" s="313">
        <v>1723000750</v>
      </c>
      <c r="B642" s="313" t="s">
        <v>714</v>
      </c>
      <c r="D642" s="313" t="e">
        <f>VLOOKUP(A642,#REF!,4,FALSE)</f>
        <v>#REF!</v>
      </c>
      <c r="E642" s="315" t="e">
        <f t="shared" si="9"/>
        <v>#REF!</v>
      </c>
    </row>
    <row r="643" spans="1:5" x14ac:dyDescent="0.2">
      <c r="A643" s="313">
        <v>1723000751</v>
      </c>
      <c r="B643" s="313" t="s">
        <v>77</v>
      </c>
      <c r="C643" s="314">
        <v>13000</v>
      </c>
      <c r="D643" s="313" t="e">
        <f>VLOOKUP(A643,#REF!,4,FALSE)</f>
        <v>#REF!</v>
      </c>
      <c r="E643" s="315" t="e">
        <f t="shared" si="9"/>
        <v>#REF!</v>
      </c>
    </row>
    <row r="644" spans="1:5" x14ac:dyDescent="0.2">
      <c r="A644" s="313">
        <v>1723000810</v>
      </c>
      <c r="B644" s="313" t="s">
        <v>715</v>
      </c>
      <c r="C644" s="314">
        <v>325000</v>
      </c>
      <c r="D644" s="313" t="e">
        <f>VLOOKUP(A644,#REF!,4,FALSE)</f>
        <v>#REF!</v>
      </c>
      <c r="E644" s="315" t="e">
        <f t="shared" si="9"/>
        <v>#REF!</v>
      </c>
    </row>
    <row r="645" spans="1:5" x14ac:dyDescent="0.2">
      <c r="A645" s="313">
        <v>1724000731</v>
      </c>
      <c r="B645" s="313" t="s">
        <v>2061</v>
      </c>
      <c r="C645" s="314">
        <v>8616</v>
      </c>
      <c r="D645" s="313" t="e">
        <f>VLOOKUP(A645,#REF!,4,FALSE)</f>
        <v>#REF!</v>
      </c>
      <c r="E645" s="316" t="e">
        <f t="shared" si="9"/>
        <v>#REF!</v>
      </c>
    </row>
    <row r="646" spans="1:5" x14ac:dyDescent="0.2">
      <c r="A646" s="313">
        <v>1724000830</v>
      </c>
      <c r="B646" s="313" t="s">
        <v>718</v>
      </c>
      <c r="C646" s="314">
        <v>409359</v>
      </c>
      <c r="D646" s="313" t="e">
        <f>VLOOKUP(A646,#REF!,4,FALSE)</f>
        <v>#REF!</v>
      </c>
      <c r="E646" s="315" t="e">
        <f t="shared" ref="E646:E709" si="10">C646-D646</f>
        <v>#REF!</v>
      </c>
    </row>
    <row r="647" spans="1:5" x14ac:dyDescent="0.2">
      <c r="A647" s="313">
        <v>1725000910</v>
      </c>
      <c r="B647" s="313" t="s">
        <v>741</v>
      </c>
      <c r="D647" s="313" t="e">
        <f>VLOOKUP(A647,#REF!,4,FALSE)</f>
        <v>#REF!</v>
      </c>
      <c r="E647" s="315" t="e">
        <f t="shared" si="10"/>
        <v>#REF!</v>
      </c>
    </row>
    <row r="648" spans="1:5" x14ac:dyDescent="0.2">
      <c r="A648" s="313">
        <v>1731000440</v>
      </c>
      <c r="B648" s="313" t="s">
        <v>719</v>
      </c>
      <c r="C648" s="314">
        <v>72900</v>
      </c>
      <c r="D648" s="313" t="e">
        <f>VLOOKUP(A648,#REF!,4,FALSE)</f>
        <v>#REF!</v>
      </c>
      <c r="E648" s="315" t="e">
        <f t="shared" si="10"/>
        <v>#REF!</v>
      </c>
    </row>
    <row r="649" spans="1:5" x14ac:dyDescent="0.2">
      <c r="A649" s="313">
        <v>1731000450</v>
      </c>
      <c r="B649" s="313" t="s">
        <v>720</v>
      </c>
      <c r="D649" s="313" t="e">
        <f>VLOOKUP(A649,#REF!,4,FALSE)</f>
        <v>#REF!</v>
      </c>
      <c r="E649" s="315" t="e">
        <f t="shared" si="10"/>
        <v>#REF!</v>
      </c>
    </row>
    <row r="650" spans="1:5" x14ac:dyDescent="0.2">
      <c r="A650" s="313">
        <v>1731000511</v>
      </c>
      <c r="B650" s="313" t="s">
        <v>721</v>
      </c>
      <c r="C650" s="314">
        <v>3000</v>
      </c>
      <c r="D650" s="313" t="e">
        <f>VLOOKUP(A650,#REF!,4,FALSE)</f>
        <v>#REF!</v>
      </c>
      <c r="E650" s="315" t="e">
        <f t="shared" si="10"/>
        <v>#REF!</v>
      </c>
    </row>
    <row r="651" spans="1:5" x14ac:dyDescent="0.2">
      <c r="A651" s="313">
        <v>1731000512</v>
      </c>
      <c r="B651" s="313" t="s">
        <v>722</v>
      </c>
      <c r="C651" s="314">
        <v>251</v>
      </c>
      <c r="D651" s="313" t="e">
        <f>VLOOKUP(A651,#REF!,4,FALSE)</f>
        <v>#REF!</v>
      </c>
      <c r="E651" s="315" t="e">
        <f t="shared" si="10"/>
        <v>#REF!</v>
      </c>
    </row>
    <row r="652" spans="1:5" x14ac:dyDescent="0.2">
      <c r="A652" s="313">
        <v>1731000520</v>
      </c>
      <c r="B652" s="313" t="s">
        <v>571</v>
      </c>
      <c r="C652" s="314">
        <v>4316</v>
      </c>
      <c r="D652" s="313" t="e">
        <f>VLOOKUP(A652,#REF!,4,FALSE)</f>
        <v>#REF!</v>
      </c>
      <c r="E652" s="315" t="e">
        <f t="shared" si="10"/>
        <v>#REF!</v>
      </c>
    </row>
    <row r="653" spans="1:5" x14ac:dyDescent="0.2">
      <c r="A653" s="313">
        <v>1731000521</v>
      </c>
      <c r="B653" s="313" t="s">
        <v>646</v>
      </c>
      <c r="C653" s="314">
        <v>19296</v>
      </c>
      <c r="D653" s="313" t="e">
        <f>VLOOKUP(A653,#REF!,4,FALSE)</f>
        <v>#REF!</v>
      </c>
      <c r="E653" s="315" t="e">
        <f t="shared" si="10"/>
        <v>#REF!</v>
      </c>
    </row>
    <row r="654" spans="1:5" x14ac:dyDescent="0.2">
      <c r="A654" s="313">
        <v>1731000522</v>
      </c>
      <c r="B654" s="313" t="s">
        <v>723</v>
      </c>
      <c r="C654" s="314">
        <v>2500</v>
      </c>
      <c r="D654" s="313" t="e">
        <f>VLOOKUP(A654,#REF!,4,FALSE)</f>
        <v>#REF!</v>
      </c>
      <c r="E654" s="315" t="e">
        <f t="shared" si="10"/>
        <v>#REF!</v>
      </c>
    </row>
    <row r="655" spans="1:5" x14ac:dyDescent="0.2">
      <c r="A655" s="313">
        <v>1731000523</v>
      </c>
      <c r="B655" s="313" t="s">
        <v>724</v>
      </c>
      <c r="C655" s="314">
        <v>6470</v>
      </c>
      <c r="D655" s="313" t="e">
        <f>VLOOKUP(A655,#REF!,4,FALSE)</f>
        <v>#REF!</v>
      </c>
      <c r="E655" s="315" t="e">
        <f t="shared" si="10"/>
        <v>#REF!</v>
      </c>
    </row>
    <row r="656" spans="1:5" x14ac:dyDescent="0.2">
      <c r="A656" s="313">
        <v>1731000530</v>
      </c>
      <c r="B656" s="313" t="s">
        <v>1811</v>
      </c>
      <c r="C656" s="314">
        <v>69833</v>
      </c>
      <c r="D656" s="313" t="e">
        <f>VLOOKUP(A656,#REF!,4,FALSE)</f>
        <v>#REF!</v>
      </c>
      <c r="E656" s="315" t="e">
        <f t="shared" si="10"/>
        <v>#REF!</v>
      </c>
    </row>
    <row r="657" spans="1:5" x14ac:dyDescent="0.2">
      <c r="A657" s="313">
        <v>1731000550</v>
      </c>
      <c r="B657" s="313" t="s">
        <v>727</v>
      </c>
      <c r="C657" s="314">
        <v>9000</v>
      </c>
      <c r="D657" s="313" t="e">
        <f>VLOOKUP(A657,#REF!,4,FALSE)</f>
        <v>#REF!</v>
      </c>
      <c r="E657" s="315" t="e">
        <f t="shared" si="10"/>
        <v>#REF!</v>
      </c>
    </row>
    <row r="658" spans="1:5" x14ac:dyDescent="0.2">
      <c r="A658" s="313">
        <v>1731000560</v>
      </c>
      <c r="B658" s="313" t="s">
        <v>728</v>
      </c>
      <c r="C658" s="314">
        <v>9749</v>
      </c>
      <c r="D658" s="313" t="e">
        <f>VLOOKUP(A658,#REF!,4,FALSE)</f>
        <v>#REF!</v>
      </c>
      <c r="E658" s="315" t="e">
        <f t="shared" si="10"/>
        <v>#REF!</v>
      </c>
    </row>
    <row r="659" spans="1:5" x14ac:dyDescent="0.2">
      <c r="A659" s="313">
        <v>1731000570</v>
      </c>
      <c r="B659" s="313" t="s">
        <v>729</v>
      </c>
      <c r="C659" s="314">
        <v>73456</v>
      </c>
      <c r="D659" s="313" t="e">
        <f>VLOOKUP(A659,#REF!,4,FALSE)</f>
        <v>#REF!</v>
      </c>
      <c r="E659" s="315" t="e">
        <f t="shared" si="10"/>
        <v>#REF!</v>
      </c>
    </row>
    <row r="660" spans="1:5" x14ac:dyDescent="0.2">
      <c r="A660" s="313">
        <v>1731000580</v>
      </c>
      <c r="B660" s="313" t="s">
        <v>1235</v>
      </c>
      <c r="D660" s="313" t="e">
        <f>VLOOKUP(A660,#REF!,4,FALSE)</f>
        <v>#REF!</v>
      </c>
      <c r="E660" s="315" t="e">
        <f t="shared" si="10"/>
        <v>#REF!</v>
      </c>
    </row>
    <row r="661" spans="1:5" x14ac:dyDescent="0.2">
      <c r="A661" s="313">
        <v>1731000581</v>
      </c>
      <c r="B661" s="313" t="s">
        <v>1812</v>
      </c>
      <c r="C661" s="314">
        <v>34832</v>
      </c>
      <c r="D661" s="313" t="e">
        <f>VLOOKUP(A661,#REF!,4,FALSE)</f>
        <v>#REF!</v>
      </c>
      <c r="E661" s="315" t="e">
        <f t="shared" si="10"/>
        <v>#REF!</v>
      </c>
    </row>
    <row r="662" spans="1:5" x14ac:dyDescent="0.2">
      <c r="A662" s="313">
        <v>1731000750</v>
      </c>
      <c r="B662" s="313" t="s">
        <v>730</v>
      </c>
      <c r="C662" s="314">
        <v>159000</v>
      </c>
      <c r="D662" s="313" t="e">
        <f>VLOOKUP(A662,#REF!,4,FALSE)</f>
        <v>#REF!</v>
      </c>
      <c r="E662" s="315" t="e">
        <f t="shared" si="10"/>
        <v>#REF!</v>
      </c>
    </row>
    <row r="663" spans="1:5" x14ac:dyDescent="0.2">
      <c r="A663" s="313">
        <v>1731000780</v>
      </c>
      <c r="B663" s="313" t="s">
        <v>731</v>
      </c>
      <c r="C663" s="314">
        <v>154273</v>
      </c>
      <c r="D663" s="313" t="e">
        <f>VLOOKUP(A663,#REF!,4,FALSE)</f>
        <v>#REF!</v>
      </c>
      <c r="E663" s="315" t="e">
        <f t="shared" si="10"/>
        <v>#REF!</v>
      </c>
    </row>
    <row r="664" spans="1:5" x14ac:dyDescent="0.2">
      <c r="A664" s="313">
        <v>1731000910</v>
      </c>
      <c r="B664" s="313" t="s">
        <v>716</v>
      </c>
      <c r="D664" s="313" t="e">
        <f>VLOOKUP(A664,#REF!,4,FALSE)</f>
        <v>#REF!</v>
      </c>
      <c r="E664" s="315" t="e">
        <f t="shared" si="10"/>
        <v>#REF!</v>
      </c>
    </row>
    <row r="665" spans="1:5" x14ac:dyDescent="0.2">
      <c r="A665" s="313">
        <v>1731000930</v>
      </c>
      <c r="B665" s="313" t="s">
        <v>732</v>
      </c>
      <c r="C665" s="314">
        <v>3500</v>
      </c>
      <c r="D665" s="313" t="e">
        <f>VLOOKUP(A665,#REF!,4,FALSE)</f>
        <v>#REF!</v>
      </c>
      <c r="E665" s="315" t="e">
        <f t="shared" si="10"/>
        <v>#REF!</v>
      </c>
    </row>
    <row r="666" spans="1:5" x14ac:dyDescent="0.2">
      <c r="A666" s="313">
        <v>1731100530</v>
      </c>
      <c r="B666" s="313" t="s">
        <v>1813</v>
      </c>
      <c r="C666" s="314">
        <v>66511</v>
      </c>
      <c r="D666" s="313" t="e">
        <f>VLOOKUP(A666,#REF!,4,FALSE)</f>
        <v>#REF!</v>
      </c>
      <c r="E666" s="315" t="e">
        <f t="shared" si="10"/>
        <v>#REF!</v>
      </c>
    </row>
    <row r="667" spans="1:5" x14ac:dyDescent="0.2">
      <c r="A667" s="313">
        <v>1732000511</v>
      </c>
      <c r="B667" s="313" t="s">
        <v>721</v>
      </c>
      <c r="C667" s="314">
        <v>100</v>
      </c>
      <c r="D667" s="313" t="e">
        <f>VLOOKUP(A667,#REF!,4,FALSE)</f>
        <v>#REF!</v>
      </c>
      <c r="E667" s="315" t="e">
        <f t="shared" si="10"/>
        <v>#REF!</v>
      </c>
    </row>
    <row r="668" spans="1:5" x14ac:dyDescent="0.2">
      <c r="A668" s="313">
        <v>1732000512</v>
      </c>
      <c r="B668" s="313" t="s">
        <v>1814</v>
      </c>
      <c r="C668" s="314">
        <v>500</v>
      </c>
      <c r="D668" s="313" t="e">
        <f>VLOOKUP(A668,#REF!,4,FALSE)</f>
        <v>#REF!</v>
      </c>
      <c r="E668" s="315" t="e">
        <f t="shared" si="10"/>
        <v>#REF!</v>
      </c>
    </row>
    <row r="669" spans="1:5" x14ac:dyDescent="0.2">
      <c r="A669" s="313">
        <v>1732000530</v>
      </c>
      <c r="B669" s="313" t="s">
        <v>1815</v>
      </c>
      <c r="C669" s="314">
        <v>60000</v>
      </c>
      <c r="D669" s="313" t="e">
        <f>VLOOKUP(A669,#REF!,4,FALSE)</f>
        <v>#REF!</v>
      </c>
      <c r="E669" s="315" t="e">
        <f t="shared" si="10"/>
        <v>#REF!</v>
      </c>
    </row>
    <row r="670" spans="1:5" x14ac:dyDescent="0.2">
      <c r="A670" s="313">
        <v>1732000560</v>
      </c>
      <c r="B670" s="313" t="s">
        <v>728</v>
      </c>
      <c r="C670" s="314">
        <v>1580</v>
      </c>
      <c r="D670" s="313" t="e">
        <f>VLOOKUP(A670,#REF!,4,FALSE)</f>
        <v>#REF!</v>
      </c>
      <c r="E670" s="315" t="e">
        <f t="shared" si="10"/>
        <v>#REF!</v>
      </c>
    </row>
    <row r="671" spans="1:5" x14ac:dyDescent="0.2">
      <c r="A671" s="313">
        <v>1732000581</v>
      </c>
      <c r="B671" s="313" t="s">
        <v>1816</v>
      </c>
      <c r="C671" s="314">
        <v>420</v>
      </c>
      <c r="D671" s="313" t="e">
        <f>VLOOKUP(A671,#REF!,4,FALSE)</f>
        <v>#REF!</v>
      </c>
      <c r="E671" s="315" t="e">
        <f t="shared" si="10"/>
        <v>#REF!</v>
      </c>
    </row>
    <row r="672" spans="1:5" x14ac:dyDescent="0.2">
      <c r="A672" s="313">
        <v>1732000750</v>
      </c>
      <c r="B672" s="313" t="s">
        <v>730</v>
      </c>
      <c r="C672" s="314">
        <v>8500</v>
      </c>
      <c r="D672" s="313" t="e">
        <f>VLOOKUP(A672,#REF!,4,FALSE)</f>
        <v>#REF!</v>
      </c>
      <c r="E672" s="315" t="e">
        <f t="shared" si="10"/>
        <v>#REF!</v>
      </c>
    </row>
    <row r="673" spans="1:5" x14ac:dyDescent="0.2">
      <c r="A673" s="313">
        <v>1732000780</v>
      </c>
      <c r="B673" s="313" t="s">
        <v>731</v>
      </c>
      <c r="C673" s="314">
        <v>51110</v>
      </c>
      <c r="D673" s="313" t="e">
        <f>VLOOKUP(A673,#REF!,4,FALSE)</f>
        <v>#REF!</v>
      </c>
      <c r="E673" s="315" t="e">
        <f t="shared" si="10"/>
        <v>#REF!</v>
      </c>
    </row>
    <row r="674" spans="1:5" x14ac:dyDescent="0.2">
      <c r="A674" s="313">
        <v>1732000950</v>
      </c>
      <c r="B674" s="313" t="s">
        <v>735</v>
      </c>
      <c r="C674" s="314">
        <v>22367</v>
      </c>
      <c r="D674" s="313" t="e">
        <f>VLOOKUP(A674,#REF!,4,FALSE)</f>
        <v>#REF!</v>
      </c>
      <c r="E674" s="315" t="e">
        <f t="shared" si="10"/>
        <v>#REF!</v>
      </c>
    </row>
    <row r="675" spans="1:5" x14ac:dyDescent="0.2">
      <c r="A675" s="313">
        <v>1733100511</v>
      </c>
      <c r="B675" s="313" t="s">
        <v>1817</v>
      </c>
      <c r="C675" s="314">
        <v>4300</v>
      </c>
      <c r="D675" s="313" t="e">
        <f>VLOOKUP(A675,#REF!,4,FALSE)</f>
        <v>#REF!</v>
      </c>
      <c r="E675" s="315" t="e">
        <f t="shared" si="10"/>
        <v>#REF!</v>
      </c>
    </row>
    <row r="676" spans="1:5" x14ac:dyDescent="0.2">
      <c r="A676" s="313">
        <v>1733100531</v>
      </c>
      <c r="B676" s="313" t="s">
        <v>1818</v>
      </c>
      <c r="C676" s="314">
        <v>1600</v>
      </c>
      <c r="D676" s="313" t="e">
        <f>VLOOKUP(A676,#REF!,4,FALSE)</f>
        <v>#REF!</v>
      </c>
      <c r="E676" s="315" t="e">
        <f t="shared" si="10"/>
        <v>#REF!</v>
      </c>
    </row>
    <row r="677" spans="1:5" x14ac:dyDescent="0.2">
      <c r="A677" s="313">
        <v>1733100560</v>
      </c>
      <c r="B677" s="313" t="s">
        <v>728</v>
      </c>
      <c r="C677" s="314">
        <v>2000</v>
      </c>
      <c r="D677" s="313" t="e">
        <f>VLOOKUP(A677,#REF!,4,FALSE)</f>
        <v>#REF!</v>
      </c>
      <c r="E677" s="315" t="e">
        <f t="shared" si="10"/>
        <v>#REF!</v>
      </c>
    </row>
    <row r="678" spans="1:5" x14ac:dyDescent="0.2">
      <c r="A678" s="313">
        <v>1733100731</v>
      </c>
      <c r="B678" s="313" t="s">
        <v>1819</v>
      </c>
      <c r="C678" s="314">
        <v>14621</v>
      </c>
      <c r="D678" s="313" t="e">
        <f>VLOOKUP(A678,#REF!,4,FALSE)</f>
        <v>#REF!</v>
      </c>
      <c r="E678" s="315" t="e">
        <f t="shared" si="10"/>
        <v>#REF!</v>
      </c>
    </row>
    <row r="679" spans="1:5" x14ac:dyDescent="0.2">
      <c r="A679" s="313">
        <v>1733100780</v>
      </c>
      <c r="B679" s="313" t="s">
        <v>731</v>
      </c>
      <c r="C679" s="314">
        <v>409.4</v>
      </c>
      <c r="D679" s="313" t="e">
        <f>VLOOKUP(A679,#REF!,4,FALSE)</f>
        <v>#REF!</v>
      </c>
      <c r="E679" s="315" t="e">
        <f t="shared" si="10"/>
        <v>#REF!</v>
      </c>
    </row>
    <row r="680" spans="1:5" x14ac:dyDescent="0.2">
      <c r="A680" s="313">
        <v>1733100930</v>
      </c>
      <c r="B680" s="313" t="s">
        <v>732</v>
      </c>
      <c r="C680" s="314">
        <v>4440.6000000000004</v>
      </c>
      <c r="D680" s="313" t="e">
        <f>VLOOKUP(A680,#REF!,4,FALSE)</f>
        <v>#REF!</v>
      </c>
      <c r="E680" s="315" t="e">
        <f t="shared" si="10"/>
        <v>#REF!</v>
      </c>
    </row>
    <row r="681" spans="1:5" x14ac:dyDescent="0.2">
      <c r="A681" s="313">
        <v>1733110530</v>
      </c>
      <c r="B681" s="313" t="s">
        <v>1606</v>
      </c>
      <c r="C681" s="314">
        <v>40000</v>
      </c>
      <c r="D681" s="313" t="e">
        <f>VLOOKUP(A681,#REF!,4,FALSE)</f>
        <v>#REF!</v>
      </c>
      <c r="E681" s="315" t="e">
        <f t="shared" si="10"/>
        <v>#REF!</v>
      </c>
    </row>
    <row r="682" spans="1:5" x14ac:dyDescent="0.2">
      <c r="A682" s="313">
        <v>1733200731</v>
      </c>
      <c r="B682" s="313" t="s">
        <v>1820</v>
      </c>
      <c r="C682" s="314">
        <v>26000</v>
      </c>
      <c r="D682" s="313" t="e">
        <f>VLOOKUP(A682,#REF!,4,FALSE)</f>
        <v>#REF!</v>
      </c>
      <c r="E682" s="315" t="e">
        <f t="shared" si="10"/>
        <v>#REF!</v>
      </c>
    </row>
    <row r="683" spans="1:5" x14ac:dyDescent="0.2">
      <c r="A683" s="313">
        <v>1733200780</v>
      </c>
      <c r="B683" s="313" t="s">
        <v>580</v>
      </c>
      <c r="C683" s="314">
        <v>4000</v>
      </c>
      <c r="D683" s="313" t="e">
        <f>VLOOKUP(A683,#REF!,4,FALSE)</f>
        <v>#REF!</v>
      </c>
      <c r="E683" s="315" t="e">
        <f t="shared" si="10"/>
        <v>#REF!</v>
      </c>
    </row>
    <row r="684" spans="1:5" x14ac:dyDescent="0.2">
      <c r="A684" s="313">
        <v>1741000750</v>
      </c>
      <c r="B684" s="313" t="s">
        <v>736</v>
      </c>
      <c r="D684" s="313" t="e">
        <f>VLOOKUP(A684,#REF!,4,FALSE)</f>
        <v>#REF!</v>
      </c>
      <c r="E684" s="315" t="e">
        <f t="shared" si="10"/>
        <v>#REF!</v>
      </c>
    </row>
    <row r="685" spans="1:5" x14ac:dyDescent="0.2">
      <c r="A685" s="313">
        <v>1742000440</v>
      </c>
      <c r="B685" s="313" t="s">
        <v>558</v>
      </c>
      <c r="C685" s="314">
        <v>51217</v>
      </c>
      <c r="D685" s="313" t="e">
        <f>VLOOKUP(A685,#REF!,4,FALSE)</f>
        <v>#REF!</v>
      </c>
      <c r="E685" s="315" t="e">
        <f t="shared" si="10"/>
        <v>#REF!</v>
      </c>
    </row>
    <row r="686" spans="1:5" x14ac:dyDescent="0.2">
      <c r="A686" s="313">
        <v>1742000720</v>
      </c>
      <c r="B686" s="313" t="s">
        <v>689</v>
      </c>
      <c r="C686" s="314">
        <v>90000</v>
      </c>
      <c r="D686" s="313" t="e">
        <f>VLOOKUP(A686,#REF!,4,FALSE)</f>
        <v>#REF!</v>
      </c>
      <c r="E686" s="315" t="e">
        <f t="shared" si="10"/>
        <v>#REF!</v>
      </c>
    </row>
    <row r="687" spans="1:5" x14ac:dyDescent="0.2">
      <c r="A687" s="313">
        <v>1742000750</v>
      </c>
      <c r="B687" s="313" t="s">
        <v>714</v>
      </c>
      <c r="C687" s="314">
        <v>12721</v>
      </c>
      <c r="D687" s="313" t="e">
        <f>VLOOKUP(A687,#REF!,4,FALSE)</f>
        <v>#REF!</v>
      </c>
      <c r="E687" s="315" t="e">
        <f t="shared" si="10"/>
        <v>#REF!</v>
      </c>
    </row>
    <row r="688" spans="1:5" x14ac:dyDescent="0.2">
      <c r="A688" s="313">
        <v>1742000910</v>
      </c>
      <c r="B688" s="313" t="s">
        <v>738</v>
      </c>
      <c r="C688" s="314">
        <v>230000</v>
      </c>
      <c r="D688" s="313" t="e">
        <f>VLOOKUP(A688,#REF!,4,FALSE)</f>
        <v>#REF!</v>
      </c>
      <c r="E688" s="315" t="e">
        <f t="shared" si="10"/>
        <v>#REF!</v>
      </c>
    </row>
    <row r="689" spans="1:5" x14ac:dyDescent="0.2">
      <c r="A689" s="313">
        <v>1742000930</v>
      </c>
      <c r="B689" s="313" t="s">
        <v>739</v>
      </c>
      <c r="C689" s="314">
        <v>5000</v>
      </c>
      <c r="D689" s="313" t="e">
        <f>VLOOKUP(A689,#REF!,4,FALSE)</f>
        <v>#REF!</v>
      </c>
      <c r="E689" s="315" t="e">
        <f t="shared" si="10"/>
        <v>#REF!</v>
      </c>
    </row>
    <row r="690" spans="1:5" x14ac:dyDescent="0.2">
      <c r="A690" s="313">
        <v>1743000511</v>
      </c>
      <c r="B690" s="313" t="s">
        <v>1821</v>
      </c>
      <c r="C690" s="314">
        <v>2000</v>
      </c>
      <c r="D690" s="313" t="e">
        <f>VLOOKUP(A690,#REF!,4,FALSE)</f>
        <v>#REF!</v>
      </c>
      <c r="E690" s="315" t="e">
        <f t="shared" si="10"/>
        <v>#REF!</v>
      </c>
    </row>
    <row r="691" spans="1:5" x14ac:dyDescent="0.2">
      <c r="A691" s="313">
        <v>1743000720</v>
      </c>
      <c r="B691" s="313" t="s">
        <v>826</v>
      </c>
      <c r="C691" s="314">
        <v>217000</v>
      </c>
      <c r="D691" s="313" t="e">
        <f>VLOOKUP(A691,#REF!,4,FALSE)</f>
        <v>#REF!</v>
      </c>
      <c r="E691" s="315" t="e">
        <f t="shared" si="10"/>
        <v>#REF!</v>
      </c>
    </row>
    <row r="692" spans="1:5" x14ac:dyDescent="0.2">
      <c r="A692" s="313">
        <v>1743000740</v>
      </c>
      <c r="B692" s="313" t="s">
        <v>737</v>
      </c>
      <c r="C692" s="314">
        <v>1884</v>
      </c>
      <c r="D692" s="313" t="e">
        <f>VLOOKUP(A692,#REF!,4,FALSE)</f>
        <v>#REF!</v>
      </c>
      <c r="E692" s="315" t="e">
        <f t="shared" si="10"/>
        <v>#REF!</v>
      </c>
    </row>
    <row r="693" spans="1:5" x14ac:dyDescent="0.2">
      <c r="A693" s="313">
        <v>1743000742</v>
      </c>
      <c r="B693" s="313" t="s">
        <v>1163</v>
      </c>
      <c r="C693" s="314">
        <v>8000</v>
      </c>
      <c r="D693" s="313" t="e">
        <f>VLOOKUP(A693,#REF!,4,FALSE)</f>
        <v>#REF!</v>
      </c>
      <c r="E693" s="315" t="e">
        <f t="shared" si="10"/>
        <v>#REF!</v>
      </c>
    </row>
    <row r="694" spans="1:5" x14ac:dyDescent="0.2">
      <c r="A694" s="313">
        <v>1743000750</v>
      </c>
      <c r="B694" s="313" t="s">
        <v>714</v>
      </c>
      <c r="C694" s="314">
        <v>186000</v>
      </c>
      <c r="D694" s="313" t="e">
        <f>VLOOKUP(A694,#REF!,4,FALSE)</f>
        <v>#REF!</v>
      </c>
      <c r="E694" s="315" t="e">
        <f t="shared" si="10"/>
        <v>#REF!</v>
      </c>
    </row>
    <row r="695" spans="1:5" x14ac:dyDescent="0.2">
      <c r="A695" s="313">
        <v>1743000751</v>
      </c>
      <c r="B695" s="313" t="s">
        <v>141</v>
      </c>
      <c r="D695" s="313" t="e">
        <f>VLOOKUP(A695,#REF!,4,FALSE)</f>
        <v>#REF!</v>
      </c>
      <c r="E695" s="315" t="e">
        <f t="shared" si="10"/>
        <v>#REF!</v>
      </c>
    </row>
    <row r="696" spans="1:5" x14ac:dyDescent="0.2">
      <c r="A696" s="313">
        <v>1743000770</v>
      </c>
      <c r="B696" s="313" t="s">
        <v>740</v>
      </c>
      <c r="C696" s="314">
        <v>3600000</v>
      </c>
      <c r="D696" s="313" t="e">
        <f>VLOOKUP(A696,#REF!,4,FALSE)</f>
        <v>#REF!</v>
      </c>
      <c r="E696" s="315" t="e">
        <f t="shared" si="10"/>
        <v>#REF!</v>
      </c>
    </row>
    <row r="697" spans="1:5" x14ac:dyDescent="0.2">
      <c r="A697" s="313">
        <v>1743001731</v>
      </c>
      <c r="B697" s="313" t="s">
        <v>742</v>
      </c>
      <c r="C697" s="314">
        <v>25387</v>
      </c>
      <c r="D697" s="313" t="e">
        <f>VLOOKUP(A697,#REF!,4,FALSE)</f>
        <v>#REF!</v>
      </c>
      <c r="E697" s="315" t="e">
        <f t="shared" si="10"/>
        <v>#REF!</v>
      </c>
    </row>
    <row r="698" spans="1:5" x14ac:dyDescent="0.2">
      <c r="A698" s="313">
        <v>1743002731</v>
      </c>
      <c r="B698" s="313" t="s">
        <v>743</v>
      </c>
      <c r="C698" s="314">
        <v>49939</v>
      </c>
      <c r="D698" s="313" t="e">
        <f>VLOOKUP(A698,#REF!,4,FALSE)</f>
        <v>#REF!</v>
      </c>
      <c r="E698" s="315" t="e">
        <f t="shared" si="10"/>
        <v>#REF!</v>
      </c>
    </row>
    <row r="699" spans="1:5" x14ac:dyDescent="0.2">
      <c r="A699" s="313">
        <v>1743003731</v>
      </c>
      <c r="B699" s="313" t="s">
        <v>744</v>
      </c>
      <c r="D699" s="313" t="e">
        <f>VLOOKUP(A699,#REF!,4,FALSE)</f>
        <v>#REF!</v>
      </c>
      <c r="E699" s="315" t="e">
        <f t="shared" si="10"/>
        <v>#REF!</v>
      </c>
    </row>
    <row r="700" spans="1:5" x14ac:dyDescent="0.2">
      <c r="A700" s="313">
        <v>1743004731</v>
      </c>
      <c r="B700" s="313" t="s">
        <v>745</v>
      </c>
      <c r="C700" s="314">
        <v>1647</v>
      </c>
      <c r="D700" s="313" t="e">
        <f>VLOOKUP(A700,#REF!,4,FALSE)</f>
        <v>#REF!</v>
      </c>
      <c r="E700" s="315" t="e">
        <f t="shared" si="10"/>
        <v>#REF!</v>
      </c>
    </row>
    <row r="701" spans="1:5" x14ac:dyDescent="0.2">
      <c r="A701" s="313">
        <v>1743005731</v>
      </c>
      <c r="B701" s="313" t="s">
        <v>746</v>
      </c>
      <c r="C701" s="314">
        <v>1647</v>
      </c>
      <c r="D701" s="313" t="e">
        <f>VLOOKUP(A701,#REF!,4,FALSE)</f>
        <v>#REF!</v>
      </c>
      <c r="E701" s="315" t="e">
        <f t="shared" si="10"/>
        <v>#REF!</v>
      </c>
    </row>
    <row r="702" spans="1:5" x14ac:dyDescent="0.2">
      <c r="A702" s="313">
        <v>1743006731</v>
      </c>
      <c r="B702" s="313" t="s">
        <v>747</v>
      </c>
      <c r="C702" s="314">
        <v>1647</v>
      </c>
      <c r="D702" s="313" t="e">
        <f>VLOOKUP(A702,#REF!,4,FALSE)</f>
        <v>#REF!</v>
      </c>
      <c r="E702" s="315" t="e">
        <f t="shared" si="10"/>
        <v>#REF!</v>
      </c>
    </row>
    <row r="703" spans="1:5" x14ac:dyDescent="0.2">
      <c r="A703" s="313">
        <v>1743007530</v>
      </c>
      <c r="B703" s="313" t="s">
        <v>1822</v>
      </c>
      <c r="C703" s="314">
        <v>56166</v>
      </c>
      <c r="D703" s="313" t="e">
        <f>VLOOKUP(A703,#REF!,4,FALSE)</f>
        <v>#REF!</v>
      </c>
      <c r="E703" s="315" t="e">
        <f t="shared" si="10"/>
        <v>#REF!</v>
      </c>
    </row>
    <row r="704" spans="1:5" x14ac:dyDescent="0.2">
      <c r="A704" s="313">
        <v>1743008530</v>
      </c>
      <c r="B704" s="313" t="s">
        <v>1510</v>
      </c>
      <c r="D704" s="313" t="e">
        <f>VLOOKUP(A704,#REF!,4,FALSE)</f>
        <v>#REF!</v>
      </c>
      <c r="E704" s="315" t="e">
        <f t="shared" si="10"/>
        <v>#REF!</v>
      </c>
    </row>
    <row r="705" spans="1:5" x14ac:dyDescent="0.2">
      <c r="A705" s="313">
        <v>1743200530</v>
      </c>
      <c r="B705" s="313" t="s">
        <v>118</v>
      </c>
      <c r="C705" s="314">
        <v>44884</v>
      </c>
      <c r="D705" s="313" t="e">
        <f>VLOOKUP(A705,#REF!,4,FALSE)</f>
        <v>#REF!</v>
      </c>
      <c r="E705" s="315" t="e">
        <f t="shared" si="10"/>
        <v>#REF!</v>
      </c>
    </row>
    <row r="706" spans="1:5" x14ac:dyDescent="0.2">
      <c r="A706" s="313">
        <v>1744000910</v>
      </c>
      <c r="B706" s="313" t="s">
        <v>738</v>
      </c>
      <c r="D706" s="313" t="e">
        <f>VLOOKUP(A706,#REF!,4,FALSE)</f>
        <v>#REF!</v>
      </c>
      <c r="E706" s="315" t="e">
        <f t="shared" si="10"/>
        <v>#REF!</v>
      </c>
    </row>
    <row r="707" spans="1:5" x14ac:dyDescent="0.2">
      <c r="A707" s="313">
        <v>1744400521</v>
      </c>
      <c r="B707" s="313" t="s">
        <v>646</v>
      </c>
      <c r="D707" s="313" t="e">
        <f>VLOOKUP(A707,#REF!,4,FALSE)</f>
        <v>#REF!</v>
      </c>
      <c r="E707" s="315" t="e">
        <f t="shared" si="10"/>
        <v>#REF!</v>
      </c>
    </row>
    <row r="708" spans="1:5" x14ac:dyDescent="0.2">
      <c r="A708" s="313">
        <v>1744400750</v>
      </c>
      <c r="B708" s="313" t="s">
        <v>749</v>
      </c>
      <c r="D708" s="313" t="e">
        <f>VLOOKUP(A708,#REF!,4,FALSE)</f>
        <v>#REF!</v>
      </c>
      <c r="E708" s="315" t="e">
        <f t="shared" si="10"/>
        <v>#REF!</v>
      </c>
    </row>
    <row r="709" spans="1:5" x14ac:dyDescent="0.2">
      <c r="A709" s="313">
        <v>1745000810</v>
      </c>
      <c r="B709" s="313" t="s">
        <v>750</v>
      </c>
      <c r="C709" s="314">
        <v>375638</v>
      </c>
      <c r="D709" s="313" t="e">
        <f>VLOOKUP(A709,#REF!,4,FALSE)</f>
        <v>#REF!</v>
      </c>
      <c r="E709" s="315" t="e">
        <f t="shared" si="10"/>
        <v>#REF!</v>
      </c>
    </row>
    <row r="710" spans="1:5" x14ac:dyDescent="0.2">
      <c r="A710" s="313">
        <v>1746000430</v>
      </c>
      <c r="B710" s="313" t="s">
        <v>751</v>
      </c>
      <c r="C710" s="314">
        <v>3412422</v>
      </c>
      <c r="D710" s="313" t="e">
        <f>VLOOKUP(A710,#REF!,4,FALSE)</f>
        <v>#REF!</v>
      </c>
      <c r="E710" s="315" t="e">
        <f t="shared" ref="E710:E773" si="11">C710-D710</f>
        <v>#REF!</v>
      </c>
    </row>
    <row r="711" spans="1:5" x14ac:dyDescent="0.2">
      <c r="A711" s="313">
        <v>1746000530</v>
      </c>
      <c r="B711" s="313" t="s">
        <v>1509</v>
      </c>
      <c r="C711" s="314">
        <v>61711</v>
      </c>
      <c r="D711" s="313" t="e">
        <f>VLOOKUP(A711,#REF!,4,FALSE)</f>
        <v>#REF!</v>
      </c>
      <c r="E711" s="315" t="e">
        <f t="shared" si="11"/>
        <v>#REF!</v>
      </c>
    </row>
    <row r="712" spans="1:5" x14ac:dyDescent="0.2">
      <c r="A712" s="313">
        <v>1746000720</v>
      </c>
      <c r="B712" s="313" t="s">
        <v>752</v>
      </c>
      <c r="C712" s="314">
        <v>143737</v>
      </c>
      <c r="D712" s="313" t="e">
        <f>VLOOKUP(A712,#REF!,4,FALSE)</f>
        <v>#REF!</v>
      </c>
      <c r="E712" s="315" t="e">
        <f t="shared" si="11"/>
        <v>#REF!</v>
      </c>
    </row>
    <row r="713" spans="1:5" x14ac:dyDescent="0.2">
      <c r="A713" s="313">
        <v>1746000731</v>
      </c>
      <c r="B713" s="313" t="s">
        <v>753</v>
      </c>
      <c r="C713" s="314">
        <v>1647</v>
      </c>
      <c r="D713" s="313" t="e">
        <f>VLOOKUP(A713,#REF!,4,FALSE)</f>
        <v>#REF!</v>
      </c>
      <c r="E713" s="315" t="e">
        <f t="shared" si="11"/>
        <v>#REF!</v>
      </c>
    </row>
    <row r="714" spans="1:5" x14ac:dyDescent="0.2">
      <c r="A714" s="313">
        <v>1746000740</v>
      </c>
      <c r="B714" s="313" t="s">
        <v>755</v>
      </c>
      <c r="C714" s="314">
        <v>45000</v>
      </c>
      <c r="D714" s="313" t="e">
        <f>VLOOKUP(A714,#REF!,4,FALSE)</f>
        <v>#REF!</v>
      </c>
      <c r="E714" s="315" t="e">
        <f t="shared" si="11"/>
        <v>#REF!</v>
      </c>
    </row>
    <row r="715" spans="1:5" x14ac:dyDescent="0.2">
      <c r="A715" s="313">
        <v>1746000750</v>
      </c>
      <c r="B715" s="313" t="s">
        <v>756</v>
      </c>
      <c r="C715" s="314">
        <v>2349000</v>
      </c>
      <c r="D715" s="313" t="e">
        <f>VLOOKUP(A715,#REF!,4,FALSE)</f>
        <v>#REF!</v>
      </c>
      <c r="E715" s="315" t="e">
        <f t="shared" si="11"/>
        <v>#REF!</v>
      </c>
    </row>
    <row r="716" spans="1:5" x14ac:dyDescent="0.2">
      <c r="A716" s="313">
        <v>1746000751</v>
      </c>
      <c r="B716" s="313" t="s">
        <v>757</v>
      </c>
      <c r="D716" s="313" t="e">
        <f>VLOOKUP(A716,#REF!,4,FALSE)</f>
        <v>#REF!</v>
      </c>
      <c r="E716" s="315" t="e">
        <f t="shared" si="11"/>
        <v>#REF!</v>
      </c>
    </row>
    <row r="717" spans="1:5" x14ac:dyDescent="0.2">
      <c r="A717" s="313">
        <v>1746000752</v>
      </c>
      <c r="B717" s="313" t="s">
        <v>758</v>
      </c>
      <c r="C717" s="314">
        <v>658246</v>
      </c>
      <c r="D717" s="313" t="e">
        <f>VLOOKUP(A717,#REF!,4,FALSE)</f>
        <v>#REF!</v>
      </c>
      <c r="E717" s="315" t="e">
        <f t="shared" si="11"/>
        <v>#REF!</v>
      </c>
    </row>
    <row r="718" spans="1:5" x14ac:dyDescent="0.2">
      <c r="A718" s="313">
        <v>1746000753</v>
      </c>
      <c r="B718" s="313" t="s">
        <v>144</v>
      </c>
      <c r="D718" s="313" t="e">
        <f>VLOOKUP(A718,#REF!,4,FALSE)</f>
        <v>#REF!</v>
      </c>
      <c r="E718" s="315" t="e">
        <f t="shared" si="11"/>
        <v>#REF!</v>
      </c>
    </row>
    <row r="719" spans="1:5" x14ac:dyDescent="0.2">
      <c r="A719" s="313">
        <v>1746000754</v>
      </c>
      <c r="B719" s="313" t="s">
        <v>145</v>
      </c>
      <c r="C719" s="314">
        <v>80000</v>
      </c>
      <c r="D719" s="313" t="e">
        <f>VLOOKUP(A719,#REF!,4,FALSE)</f>
        <v>#REF!</v>
      </c>
      <c r="E719" s="315" t="e">
        <f t="shared" si="11"/>
        <v>#REF!</v>
      </c>
    </row>
    <row r="720" spans="1:5" x14ac:dyDescent="0.2">
      <c r="A720" s="313">
        <v>1746000780</v>
      </c>
      <c r="B720" s="313" t="s">
        <v>760</v>
      </c>
      <c r="C720" s="314">
        <v>2040</v>
      </c>
      <c r="D720" s="313" t="e">
        <f>VLOOKUP(A720,#REF!,4,FALSE)</f>
        <v>#REF!</v>
      </c>
      <c r="E720" s="315" t="e">
        <f t="shared" si="11"/>
        <v>#REF!</v>
      </c>
    </row>
    <row r="721" spans="1:5" x14ac:dyDescent="0.2">
      <c r="A721" s="313">
        <v>1746000931</v>
      </c>
      <c r="B721" s="313" t="s">
        <v>761</v>
      </c>
      <c r="C721" s="314">
        <v>35000</v>
      </c>
      <c r="D721" s="313" t="e">
        <f>VLOOKUP(A721,#REF!,4,FALSE)</f>
        <v>#REF!</v>
      </c>
      <c r="E721" s="315" t="e">
        <f t="shared" si="11"/>
        <v>#REF!</v>
      </c>
    </row>
    <row r="722" spans="1:5" x14ac:dyDescent="0.2">
      <c r="A722" s="313">
        <v>1746001530</v>
      </c>
      <c r="B722" s="313" t="s">
        <v>1824</v>
      </c>
      <c r="C722" s="314">
        <v>46594</v>
      </c>
      <c r="D722" s="313" t="e">
        <f>VLOOKUP(A722,#REF!,4,FALSE)</f>
        <v>#REF!</v>
      </c>
      <c r="E722" s="315" t="e">
        <f t="shared" si="11"/>
        <v>#REF!</v>
      </c>
    </row>
    <row r="723" spans="1:5" x14ac:dyDescent="0.2">
      <c r="A723" s="313">
        <v>1746001731</v>
      </c>
      <c r="B723" s="313" t="s">
        <v>1612</v>
      </c>
      <c r="D723" s="313" t="e">
        <f>VLOOKUP(A723,#REF!,4,FALSE)</f>
        <v>#REF!</v>
      </c>
      <c r="E723" s="315" t="e">
        <f t="shared" si="11"/>
        <v>#REF!</v>
      </c>
    </row>
    <row r="724" spans="1:5" x14ac:dyDescent="0.2">
      <c r="A724" s="313">
        <v>1746100511</v>
      </c>
      <c r="B724" s="313" t="s">
        <v>1934</v>
      </c>
      <c r="C724" s="314">
        <v>3000</v>
      </c>
      <c r="D724" s="313" t="e">
        <f>VLOOKUP(A724,#REF!,4,FALSE)</f>
        <v>#REF!</v>
      </c>
      <c r="E724" s="315" t="e">
        <f t="shared" si="11"/>
        <v>#REF!</v>
      </c>
    </row>
    <row r="725" spans="1:5" x14ac:dyDescent="0.2">
      <c r="A725" s="313">
        <v>1746100521</v>
      </c>
      <c r="B725" s="313" t="s">
        <v>1613</v>
      </c>
      <c r="C725" s="314">
        <v>39500</v>
      </c>
      <c r="D725" s="313" t="e">
        <f>VLOOKUP(A725,#REF!,4,FALSE)</f>
        <v>#REF!</v>
      </c>
      <c r="E725" s="315" t="e">
        <f t="shared" si="11"/>
        <v>#REF!</v>
      </c>
    </row>
    <row r="726" spans="1:5" x14ac:dyDescent="0.2">
      <c r="A726" s="313">
        <v>1746100560</v>
      </c>
      <c r="B726" s="313" t="s">
        <v>762</v>
      </c>
      <c r="C726" s="314">
        <v>1500</v>
      </c>
      <c r="D726" s="313" t="e">
        <f>VLOOKUP(A726,#REF!,4,FALSE)</f>
        <v>#REF!</v>
      </c>
      <c r="E726" s="315" t="e">
        <f t="shared" si="11"/>
        <v>#REF!</v>
      </c>
    </row>
    <row r="727" spans="1:5" x14ac:dyDescent="0.2">
      <c r="A727" s="313">
        <v>1746100581</v>
      </c>
      <c r="B727" s="313" t="s">
        <v>1935</v>
      </c>
      <c r="C727" s="314">
        <v>3200</v>
      </c>
      <c r="D727" s="313" t="e">
        <f>VLOOKUP(A727,#REF!,4,FALSE)</f>
        <v>#REF!</v>
      </c>
      <c r="E727" s="315" t="e">
        <f t="shared" si="11"/>
        <v>#REF!</v>
      </c>
    </row>
    <row r="728" spans="1:5" x14ac:dyDescent="0.2">
      <c r="A728" s="313">
        <v>1746100720</v>
      </c>
      <c r="B728" s="313" t="s">
        <v>763</v>
      </c>
      <c r="C728" s="314">
        <v>247640</v>
      </c>
      <c r="D728" s="313" t="e">
        <f>VLOOKUP(A728,#REF!,4,FALSE)</f>
        <v>#REF!</v>
      </c>
      <c r="E728" s="315" t="e">
        <f t="shared" si="11"/>
        <v>#REF!</v>
      </c>
    </row>
    <row r="729" spans="1:5" x14ac:dyDescent="0.2">
      <c r="A729" s="313">
        <v>1746100731</v>
      </c>
      <c r="B729" s="313" t="s">
        <v>764</v>
      </c>
      <c r="C729" s="314">
        <v>43468</v>
      </c>
      <c r="D729" s="313" t="e">
        <f>VLOOKUP(A729,#REF!,4,FALSE)</f>
        <v>#REF!</v>
      </c>
      <c r="E729" s="315" t="e">
        <f t="shared" si="11"/>
        <v>#REF!</v>
      </c>
    </row>
    <row r="730" spans="1:5" x14ac:dyDescent="0.2">
      <c r="A730" s="313">
        <v>1746100732</v>
      </c>
      <c r="B730" s="313" t="s">
        <v>1508</v>
      </c>
      <c r="D730" s="313" t="e">
        <f>VLOOKUP(A730,#REF!,4,FALSE)</f>
        <v>#REF!</v>
      </c>
      <c r="E730" s="315" t="e">
        <f t="shared" si="11"/>
        <v>#REF!</v>
      </c>
    </row>
    <row r="731" spans="1:5" x14ac:dyDescent="0.2">
      <c r="A731" s="313">
        <v>1746100733</v>
      </c>
      <c r="B731" s="313" t="s">
        <v>1507</v>
      </c>
      <c r="D731" s="313" t="e">
        <f>VLOOKUP(A731,#REF!,4,FALSE)</f>
        <v>#REF!</v>
      </c>
      <c r="E731" s="315" t="e">
        <f t="shared" si="11"/>
        <v>#REF!</v>
      </c>
    </row>
    <row r="732" spans="1:5" x14ac:dyDescent="0.2">
      <c r="A732" s="313">
        <v>1746100740</v>
      </c>
      <c r="B732" s="313" t="s">
        <v>767</v>
      </c>
      <c r="C732" s="314">
        <v>22240</v>
      </c>
      <c r="D732" s="313" t="e">
        <f>VLOOKUP(A732,#REF!,4,FALSE)</f>
        <v>#REF!</v>
      </c>
      <c r="E732" s="315" t="e">
        <f t="shared" si="11"/>
        <v>#REF!</v>
      </c>
    </row>
    <row r="733" spans="1:5" x14ac:dyDescent="0.2">
      <c r="A733" s="313">
        <v>1746100750</v>
      </c>
      <c r="B733" s="313" t="s">
        <v>1152</v>
      </c>
      <c r="C733" s="314">
        <v>270000</v>
      </c>
      <c r="D733" s="313" t="e">
        <f>VLOOKUP(A733,#REF!,4,FALSE)</f>
        <v>#REF!</v>
      </c>
      <c r="E733" s="315" t="e">
        <f t="shared" si="11"/>
        <v>#REF!</v>
      </c>
    </row>
    <row r="734" spans="1:5" x14ac:dyDescent="0.2">
      <c r="A734" s="313">
        <v>1746100751</v>
      </c>
      <c r="B734" s="313" t="s">
        <v>1614</v>
      </c>
      <c r="C734" s="314">
        <v>105000</v>
      </c>
      <c r="D734" s="313" t="e">
        <f>VLOOKUP(A734,#REF!,4,FALSE)</f>
        <v>#REF!</v>
      </c>
      <c r="E734" s="315" t="e">
        <f t="shared" si="11"/>
        <v>#REF!</v>
      </c>
    </row>
    <row r="735" spans="1:5" x14ac:dyDescent="0.2">
      <c r="A735" s="313">
        <v>1746100752</v>
      </c>
      <c r="B735" s="313" t="s">
        <v>1664</v>
      </c>
      <c r="C735" s="314">
        <v>73800</v>
      </c>
      <c r="D735" s="313" t="e">
        <f>VLOOKUP(A735,#REF!,4,FALSE)</f>
        <v>#REF!</v>
      </c>
      <c r="E735" s="315" t="e">
        <f t="shared" si="11"/>
        <v>#REF!</v>
      </c>
    </row>
    <row r="736" spans="1:5" x14ac:dyDescent="0.2">
      <c r="A736" s="313">
        <v>1746100780</v>
      </c>
      <c r="B736" s="313" t="s">
        <v>768</v>
      </c>
      <c r="C736" s="314">
        <v>160308</v>
      </c>
      <c r="D736" s="313" t="e">
        <f>VLOOKUP(A736,#REF!,4,FALSE)</f>
        <v>#REF!</v>
      </c>
      <c r="E736" s="315" t="e">
        <f t="shared" si="11"/>
        <v>#REF!</v>
      </c>
    </row>
    <row r="737" spans="1:5" x14ac:dyDescent="0.2">
      <c r="A737" s="313">
        <v>1746101731</v>
      </c>
      <c r="B737" s="313" t="s">
        <v>1506</v>
      </c>
      <c r="C737" s="314">
        <v>33421</v>
      </c>
      <c r="D737" s="313" t="e">
        <f>VLOOKUP(A737,#REF!,4,FALSE)</f>
        <v>#REF!</v>
      </c>
      <c r="E737" s="315" t="e">
        <f t="shared" si="11"/>
        <v>#REF!</v>
      </c>
    </row>
    <row r="738" spans="1:5" x14ac:dyDescent="0.2">
      <c r="A738" s="313">
        <v>1746102731</v>
      </c>
      <c r="B738" s="313" t="s">
        <v>1505</v>
      </c>
      <c r="C738" s="314">
        <v>38474</v>
      </c>
      <c r="D738" s="313" t="e">
        <f>VLOOKUP(A738,#REF!,4,FALSE)</f>
        <v>#REF!</v>
      </c>
      <c r="E738" s="315" t="e">
        <f t="shared" si="11"/>
        <v>#REF!</v>
      </c>
    </row>
    <row r="739" spans="1:5" x14ac:dyDescent="0.2">
      <c r="A739" s="313">
        <v>1746103731</v>
      </c>
      <c r="B739" s="313" t="s">
        <v>1504</v>
      </c>
      <c r="D739" s="313" t="e">
        <f>VLOOKUP(A739,#REF!,4,FALSE)</f>
        <v>#REF!</v>
      </c>
      <c r="E739" s="315" t="e">
        <f t="shared" si="11"/>
        <v>#REF!</v>
      </c>
    </row>
    <row r="740" spans="1:5" x14ac:dyDescent="0.2">
      <c r="A740" s="313">
        <v>1746104731</v>
      </c>
      <c r="B740" s="313" t="s">
        <v>1615</v>
      </c>
      <c r="C740" s="314">
        <v>24008</v>
      </c>
      <c r="D740" s="313" t="e">
        <f>VLOOKUP(A740,#REF!,4,FALSE)</f>
        <v>#REF!</v>
      </c>
      <c r="E740" s="315" t="e">
        <f t="shared" si="11"/>
        <v>#REF!</v>
      </c>
    </row>
    <row r="741" spans="1:5" x14ac:dyDescent="0.2">
      <c r="A741" s="313">
        <v>1746200530</v>
      </c>
      <c r="B741" s="313" t="s">
        <v>1833</v>
      </c>
      <c r="C741" s="314">
        <v>45000</v>
      </c>
      <c r="D741" s="313" t="e">
        <f>VLOOKUP(A741,#REF!,4,FALSE)</f>
        <v>#REF!</v>
      </c>
      <c r="E741" s="315" t="e">
        <f t="shared" si="11"/>
        <v>#REF!</v>
      </c>
    </row>
    <row r="742" spans="1:5" x14ac:dyDescent="0.2">
      <c r="A742" s="313">
        <v>1746300731</v>
      </c>
      <c r="B742" s="313" t="s">
        <v>770</v>
      </c>
      <c r="C742" s="314">
        <v>54317</v>
      </c>
      <c r="D742" s="313" t="e">
        <f>VLOOKUP(A742,#REF!,4,FALSE)</f>
        <v>#REF!</v>
      </c>
      <c r="E742" s="315" t="e">
        <f t="shared" si="11"/>
        <v>#REF!</v>
      </c>
    </row>
    <row r="743" spans="1:5" x14ac:dyDescent="0.2">
      <c r="A743" s="313">
        <v>1746400731</v>
      </c>
      <c r="B743" s="313" t="s">
        <v>1503</v>
      </c>
      <c r="C743" s="314">
        <v>36656</v>
      </c>
      <c r="D743" s="313" t="e">
        <f>VLOOKUP(A743,#REF!,4,FALSE)</f>
        <v>#REF!</v>
      </c>
      <c r="E743" s="315" t="e">
        <f t="shared" si="11"/>
        <v>#REF!</v>
      </c>
    </row>
    <row r="744" spans="1:5" x14ac:dyDescent="0.2">
      <c r="A744" s="313">
        <v>1747000731</v>
      </c>
      <c r="B744" s="313" t="s">
        <v>1616</v>
      </c>
      <c r="D744" s="313" t="e">
        <f>VLOOKUP(A744,#REF!,4,FALSE)</f>
        <v>#REF!</v>
      </c>
      <c r="E744" s="315" t="e">
        <f t="shared" si="11"/>
        <v>#REF!</v>
      </c>
    </row>
    <row r="745" spans="1:5" x14ac:dyDescent="0.2">
      <c r="A745" s="313">
        <v>1747200530</v>
      </c>
      <c r="B745" s="313" t="s">
        <v>1834</v>
      </c>
      <c r="C745" s="314">
        <v>50000</v>
      </c>
      <c r="D745" s="313" t="e">
        <f>VLOOKUP(A745,#REF!,4,FALSE)</f>
        <v>#REF!</v>
      </c>
      <c r="E745" s="315" t="e">
        <f t="shared" si="11"/>
        <v>#REF!</v>
      </c>
    </row>
    <row r="746" spans="1:5" x14ac:dyDescent="0.2">
      <c r="A746" s="313">
        <v>1747200780</v>
      </c>
      <c r="B746" s="313" t="s">
        <v>773</v>
      </c>
      <c r="C746" s="314">
        <v>847150</v>
      </c>
      <c r="D746" s="313" t="e">
        <f>VLOOKUP(A746,#REF!,4,FALSE)</f>
        <v>#REF!</v>
      </c>
      <c r="E746" s="315" t="e">
        <f t="shared" si="11"/>
        <v>#REF!</v>
      </c>
    </row>
    <row r="747" spans="1:5" x14ac:dyDescent="0.2">
      <c r="A747" s="313">
        <v>1747201731</v>
      </c>
      <c r="B747" s="313" t="s">
        <v>1696</v>
      </c>
      <c r="C747" s="314">
        <v>17295</v>
      </c>
      <c r="D747" s="313" t="e">
        <f>VLOOKUP(A747,#REF!,4,FALSE)</f>
        <v>#REF!</v>
      </c>
      <c r="E747" s="315" t="e">
        <f t="shared" si="11"/>
        <v>#REF!</v>
      </c>
    </row>
    <row r="748" spans="1:5" x14ac:dyDescent="0.2">
      <c r="A748" s="313">
        <v>1747202731</v>
      </c>
      <c r="B748" s="313" t="s">
        <v>771</v>
      </c>
      <c r="C748" s="314">
        <v>19173</v>
      </c>
      <c r="D748" s="313" t="e">
        <f>VLOOKUP(A748,#REF!,4,FALSE)</f>
        <v>#REF!</v>
      </c>
      <c r="E748" s="315" t="e">
        <f t="shared" si="11"/>
        <v>#REF!</v>
      </c>
    </row>
    <row r="749" spans="1:5" x14ac:dyDescent="0.2">
      <c r="A749" s="313">
        <v>1747203731</v>
      </c>
      <c r="B749" s="313" t="s">
        <v>1835</v>
      </c>
      <c r="C749" s="314">
        <v>23073</v>
      </c>
      <c r="D749" s="313" t="e">
        <f>VLOOKUP(A749,#REF!,4,FALSE)</f>
        <v>#REF!</v>
      </c>
      <c r="E749" s="315" t="e">
        <f t="shared" si="11"/>
        <v>#REF!</v>
      </c>
    </row>
    <row r="750" spans="1:5" x14ac:dyDescent="0.2">
      <c r="A750" s="313">
        <v>1747220530</v>
      </c>
      <c r="B750" s="313" t="s">
        <v>1501</v>
      </c>
      <c r="C750" s="314">
        <v>0</v>
      </c>
      <c r="D750" s="313" t="e">
        <f>VLOOKUP(A750,#REF!,4,FALSE)</f>
        <v>#REF!</v>
      </c>
      <c r="E750" s="315" t="e">
        <f t="shared" si="11"/>
        <v>#REF!</v>
      </c>
    </row>
    <row r="751" spans="1:5" x14ac:dyDescent="0.2">
      <c r="A751" s="313">
        <v>1747300731</v>
      </c>
      <c r="B751" s="313" t="s">
        <v>1836</v>
      </c>
      <c r="C751" s="314">
        <v>5624</v>
      </c>
      <c r="D751" s="313" t="e">
        <f>VLOOKUP(A751,#REF!,4,FALSE)</f>
        <v>#REF!</v>
      </c>
      <c r="E751" s="315" t="e">
        <f t="shared" si="11"/>
        <v>#REF!</v>
      </c>
    </row>
    <row r="752" spans="1:5" x14ac:dyDescent="0.2">
      <c r="A752" s="313">
        <v>1747400731</v>
      </c>
      <c r="B752" s="313" t="s">
        <v>1837</v>
      </c>
      <c r="C752" s="314">
        <v>200</v>
      </c>
      <c r="D752" s="313" t="e">
        <f>VLOOKUP(A752,#REF!,4,FALSE)</f>
        <v>#REF!</v>
      </c>
      <c r="E752" s="315" t="e">
        <f t="shared" si="11"/>
        <v>#REF!</v>
      </c>
    </row>
    <row r="753" spans="1:5" x14ac:dyDescent="0.2">
      <c r="A753" s="313">
        <v>1749000731</v>
      </c>
      <c r="B753" s="313" t="s">
        <v>1500</v>
      </c>
      <c r="D753" s="313" t="e">
        <f>VLOOKUP(A753,#REF!,4,FALSE)</f>
        <v>#REF!</v>
      </c>
      <c r="E753" s="315" t="e">
        <f t="shared" si="11"/>
        <v>#REF!</v>
      </c>
    </row>
    <row r="754" spans="1:5" x14ac:dyDescent="0.2">
      <c r="A754" s="313">
        <v>1749000750</v>
      </c>
      <c r="B754" s="313" t="s">
        <v>714</v>
      </c>
      <c r="C754" s="314">
        <v>455242</v>
      </c>
      <c r="D754" s="313" t="e">
        <f>VLOOKUP(A754,#REF!,4,FALSE)</f>
        <v>#REF!</v>
      </c>
      <c r="E754" s="315" t="e">
        <f t="shared" si="11"/>
        <v>#REF!</v>
      </c>
    </row>
    <row r="755" spans="1:5" x14ac:dyDescent="0.2">
      <c r="A755" s="313">
        <v>1751000530</v>
      </c>
      <c r="B755" s="313" t="s">
        <v>1499</v>
      </c>
      <c r="C755" s="314">
        <v>97108</v>
      </c>
      <c r="D755" s="313" t="e">
        <f>VLOOKUP(A755,#REF!,4,FALSE)</f>
        <v>#REF!</v>
      </c>
      <c r="E755" s="315" t="e">
        <f t="shared" si="11"/>
        <v>#REF!</v>
      </c>
    </row>
    <row r="756" spans="1:5" x14ac:dyDescent="0.2">
      <c r="A756" s="313">
        <v>1751000750</v>
      </c>
      <c r="B756" s="313" t="s">
        <v>1578</v>
      </c>
      <c r="C756" s="314">
        <v>729841</v>
      </c>
      <c r="D756" s="313" t="e">
        <f>VLOOKUP(A756,#REF!,4,FALSE)</f>
        <v>#REF!</v>
      </c>
      <c r="E756" s="315" t="e">
        <f t="shared" si="11"/>
        <v>#REF!</v>
      </c>
    </row>
    <row r="757" spans="1:5" x14ac:dyDescent="0.2">
      <c r="A757" s="313">
        <v>1751000780</v>
      </c>
      <c r="B757" s="313" t="s">
        <v>776</v>
      </c>
      <c r="C757" s="314">
        <v>780000</v>
      </c>
      <c r="D757" s="313" t="e">
        <f>VLOOKUP(A757,#REF!,4,FALSE)</f>
        <v>#REF!</v>
      </c>
      <c r="E757" s="315" t="e">
        <f t="shared" si="11"/>
        <v>#REF!</v>
      </c>
    </row>
    <row r="758" spans="1:5" x14ac:dyDescent="0.2">
      <c r="A758" s="313">
        <v>1751001731</v>
      </c>
      <c r="B758" s="313" t="s">
        <v>1498</v>
      </c>
      <c r="D758" s="313" t="e">
        <f>VLOOKUP(A758,#REF!,4,FALSE)</f>
        <v>#REF!</v>
      </c>
      <c r="E758" s="315" t="e">
        <f t="shared" si="11"/>
        <v>#REF!</v>
      </c>
    </row>
    <row r="759" spans="1:5" x14ac:dyDescent="0.2">
      <c r="A759" s="313">
        <v>1751001780</v>
      </c>
      <c r="B759" s="313" t="s">
        <v>778</v>
      </c>
      <c r="C759" s="314">
        <v>190000</v>
      </c>
      <c r="D759" s="313" t="e">
        <f>VLOOKUP(A759,#REF!,4,FALSE)</f>
        <v>#REF!</v>
      </c>
      <c r="E759" s="315" t="e">
        <f t="shared" si="11"/>
        <v>#REF!</v>
      </c>
    </row>
    <row r="760" spans="1:5" x14ac:dyDescent="0.2">
      <c r="A760" s="313">
        <v>1751002731</v>
      </c>
      <c r="B760" s="313" t="s">
        <v>779</v>
      </c>
      <c r="C760" s="314">
        <v>1173</v>
      </c>
      <c r="D760" s="313" t="e">
        <f>VLOOKUP(A760,#REF!,4,FALSE)</f>
        <v>#REF!</v>
      </c>
      <c r="E760" s="315" t="e">
        <f t="shared" si="11"/>
        <v>#REF!</v>
      </c>
    </row>
    <row r="761" spans="1:5" x14ac:dyDescent="0.2">
      <c r="A761" s="313">
        <v>1751002780</v>
      </c>
      <c r="B761" s="313" t="s">
        <v>780</v>
      </c>
      <c r="C761" s="314">
        <v>490000</v>
      </c>
      <c r="D761" s="313" t="e">
        <f>VLOOKUP(A761,#REF!,4,FALSE)</f>
        <v>#REF!</v>
      </c>
      <c r="E761" s="315" t="e">
        <f t="shared" si="11"/>
        <v>#REF!</v>
      </c>
    </row>
    <row r="762" spans="1:5" x14ac:dyDescent="0.2">
      <c r="A762" s="313">
        <v>1751003731</v>
      </c>
      <c r="B762" s="313" t="s">
        <v>781</v>
      </c>
      <c r="C762" s="314">
        <v>1647</v>
      </c>
      <c r="D762" s="313" t="e">
        <f>VLOOKUP(A762,#REF!,4,FALSE)</f>
        <v>#REF!</v>
      </c>
      <c r="E762" s="315" t="e">
        <f t="shared" si="11"/>
        <v>#REF!</v>
      </c>
    </row>
    <row r="763" spans="1:5" x14ac:dyDescent="0.2">
      <c r="A763" s="313">
        <v>1751003780</v>
      </c>
      <c r="B763" s="313" t="s">
        <v>147</v>
      </c>
      <c r="C763" s="314">
        <v>119993</v>
      </c>
      <c r="D763" s="313" t="e">
        <f>VLOOKUP(A763,#REF!,4,FALSE)</f>
        <v>#REF!</v>
      </c>
      <c r="E763" s="315" t="e">
        <f t="shared" si="11"/>
        <v>#REF!</v>
      </c>
    </row>
    <row r="764" spans="1:5" x14ac:dyDescent="0.2">
      <c r="A764" s="313">
        <v>1751004731</v>
      </c>
      <c r="B764" s="313" t="s">
        <v>1838</v>
      </c>
      <c r="C764" s="314">
        <v>10041</v>
      </c>
      <c r="D764" s="313" t="e">
        <f>VLOOKUP(A764,#REF!,4,FALSE)</f>
        <v>#REF!</v>
      </c>
      <c r="E764" s="315" t="e">
        <f t="shared" si="11"/>
        <v>#REF!</v>
      </c>
    </row>
    <row r="765" spans="1:5" x14ac:dyDescent="0.2">
      <c r="A765" s="313">
        <v>1751150811</v>
      </c>
      <c r="B765" s="313" t="s">
        <v>78</v>
      </c>
      <c r="C765" s="314">
        <v>250000</v>
      </c>
      <c r="D765" s="313" t="e">
        <f>VLOOKUP(A765,#REF!,4,FALSE)</f>
        <v>#REF!</v>
      </c>
      <c r="E765" s="315" t="e">
        <f t="shared" si="11"/>
        <v>#REF!</v>
      </c>
    </row>
    <row r="766" spans="1:5" x14ac:dyDescent="0.2">
      <c r="A766" s="313">
        <v>1751150812</v>
      </c>
      <c r="B766" s="313" t="s">
        <v>120</v>
      </c>
      <c r="C766" s="314">
        <v>110000</v>
      </c>
      <c r="D766" s="313" t="e">
        <f>VLOOKUP(A766,#REF!,4,FALSE)</f>
        <v>#REF!</v>
      </c>
      <c r="E766" s="315" t="e">
        <f t="shared" si="11"/>
        <v>#REF!</v>
      </c>
    </row>
    <row r="767" spans="1:5" x14ac:dyDescent="0.2">
      <c r="A767" s="313">
        <v>1751160780</v>
      </c>
      <c r="B767" s="313" t="s">
        <v>1333</v>
      </c>
      <c r="C767" s="314">
        <v>250000</v>
      </c>
      <c r="D767" s="313" t="e">
        <f>VLOOKUP(A767,#REF!,4,FALSE)</f>
        <v>#REF!</v>
      </c>
      <c r="E767" s="315" t="e">
        <f t="shared" si="11"/>
        <v>#REF!</v>
      </c>
    </row>
    <row r="768" spans="1:5" x14ac:dyDescent="0.2">
      <c r="A768" s="313">
        <v>1751160781</v>
      </c>
      <c r="B768" s="313" t="s">
        <v>1647</v>
      </c>
      <c r="C768" s="314">
        <v>110000</v>
      </c>
      <c r="D768" s="313" t="e">
        <f>VLOOKUP(A768,#REF!,4,FALSE)</f>
        <v>#REF!</v>
      </c>
      <c r="E768" s="315" t="e">
        <f t="shared" si="11"/>
        <v>#REF!</v>
      </c>
    </row>
    <row r="769" spans="1:5" x14ac:dyDescent="0.2">
      <c r="A769" s="313">
        <v>1752001731</v>
      </c>
      <c r="B769" s="313" t="s">
        <v>148</v>
      </c>
      <c r="C769" s="314">
        <v>0</v>
      </c>
      <c r="D769" s="313" t="e">
        <f>VLOOKUP(A769,#REF!,4,FALSE)</f>
        <v>#REF!</v>
      </c>
      <c r="E769" s="315" t="e">
        <f t="shared" si="11"/>
        <v>#REF!</v>
      </c>
    </row>
    <row r="770" spans="1:5" x14ac:dyDescent="0.2">
      <c r="A770" s="313">
        <v>1752100810</v>
      </c>
      <c r="B770" s="313" t="s">
        <v>783</v>
      </c>
      <c r="C770" s="314">
        <v>80000</v>
      </c>
      <c r="D770" s="313" t="e">
        <f>VLOOKUP(A770,#REF!,4,FALSE)</f>
        <v>#REF!</v>
      </c>
      <c r="E770" s="315" t="e">
        <f t="shared" si="11"/>
        <v>#REF!</v>
      </c>
    </row>
    <row r="771" spans="1:5" x14ac:dyDescent="0.2">
      <c r="A771" s="313">
        <v>1760000910</v>
      </c>
      <c r="B771" s="313" t="s">
        <v>704</v>
      </c>
      <c r="C771" s="314">
        <v>250000</v>
      </c>
      <c r="D771" s="313" t="e">
        <f>VLOOKUP(A771,#REF!,4,FALSE)</f>
        <v>#REF!</v>
      </c>
      <c r="E771" s="315" t="e">
        <f t="shared" si="11"/>
        <v>#REF!</v>
      </c>
    </row>
    <row r="772" spans="1:5" x14ac:dyDescent="0.2">
      <c r="A772" s="313">
        <v>1761000420</v>
      </c>
      <c r="B772" s="313" t="s">
        <v>784</v>
      </c>
      <c r="C772" s="314">
        <v>14192</v>
      </c>
      <c r="D772" s="313" t="e">
        <f>VLOOKUP(A772,#REF!,4,FALSE)</f>
        <v>#REF!</v>
      </c>
      <c r="E772" s="315" t="e">
        <f t="shared" si="11"/>
        <v>#REF!</v>
      </c>
    </row>
    <row r="773" spans="1:5" x14ac:dyDescent="0.2">
      <c r="A773" s="313">
        <v>1761000470</v>
      </c>
      <c r="B773" s="313" t="s">
        <v>785</v>
      </c>
      <c r="C773" s="314">
        <v>1372</v>
      </c>
      <c r="D773" s="313" t="e">
        <f>VLOOKUP(A773,#REF!,4,FALSE)</f>
        <v>#REF!</v>
      </c>
      <c r="E773" s="315" t="e">
        <f t="shared" si="11"/>
        <v>#REF!</v>
      </c>
    </row>
    <row r="774" spans="1:5" x14ac:dyDescent="0.2">
      <c r="A774" s="313">
        <v>1761000511</v>
      </c>
      <c r="B774" s="313" t="s">
        <v>1840</v>
      </c>
      <c r="C774" s="314">
        <v>2439.5700000000002</v>
      </c>
      <c r="D774" s="313" t="e">
        <f>VLOOKUP(A774,#REF!,4,FALSE)</f>
        <v>#REF!</v>
      </c>
      <c r="E774" s="315" t="e">
        <f t="shared" ref="E774:E837" si="12">C774-D774</f>
        <v>#REF!</v>
      </c>
    </row>
    <row r="775" spans="1:5" x14ac:dyDescent="0.2">
      <c r="A775" s="313">
        <v>1761000540</v>
      </c>
      <c r="B775" s="313" t="s">
        <v>786</v>
      </c>
      <c r="C775" s="314">
        <v>36156</v>
      </c>
      <c r="D775" s="313" t="e">
        <f>VLOOKUP(A775,#REF!,4,FALSE)</f>
        <v>#REF!</v>
      </c>
      <c r="E775" s="315" t="e">
        <f t="shared" si="12"/>
        <v>#REF!</v>
      </c>
    </row>
    <row r="776" spans="1:5" x14ac:dyDescent="0.2">
      <c r="A776" s="313">
        <v>1761000560</v>
      </c>
      <c r="B776" s="313" t="s">
        <v>1841</v>
      </c>
      <c r="C776" s="314">
        <v>1000</v>
      </c>
      <c r="D776" s="313" t="e">
        <f>VLOOKUP(A776,#REF!,4,FALSE)</f>
        <v>#REF!</v>
      </c>
      <c r="E776" s="315" t="e">
        <f t="shared" si="12"/>
        <v>#REF!</v>
      </c>
    </row>
    <row r="777" spans="1:5" x14ac:dyDescent="0.2">
      <c r="A777" s="313">
        <v>1761000570</v>
      </c>
      <c r="B777" s="313" t="s">
        <v>1842</v>
      </c>
      <c r="C777" s="314">
        <v>2808</v>
      </c>
      <c r="D777" s="313" t="e">
        <f>VLOOKUP(A777,#REF!,4,FALSE)</f>
        <v>#REF!</v>
      </c>
      <c r="E777" s="315" t="e">
        <f t="shared" si="12"/>
        <v>#REF!</v>
      </c>
    </row>
    <row r="778" spans="1:5" x14ac:dyDescent="0.2">
      <c r="A778" s="313">
        <v>1761000581</v>
      </c>
      <c r="B778" s="313" t="s">
        <v>1843</v>
      </c>
      <c r="C778" s="314">
        <v>1128</v>
      </c>
      <c r="D778" s="313" t="e">
        <f>VLOOKUP(A778,#REF!,4,FALSE)</f>
        <v>#REF!</v>
      </c>
      <c r="E778" s="315" t="e">
        <f t="shared" si="12"/>
        <v>#REF!</v>
      </c>
    </row>
    <row r="779" spans="1:5" x14ac:dyDescent="0.2">
      <c r="A779" s="313">
        <v>1761000720</v>
      </c>
      <c r="B779" s="313" t="s">
        <v>2062</v>
      </c>
      <c r="D779" s="313" t="e">
        <f>VLOOKUP(A779,#REF!,4,FALSE)</f>
        <v>#REF!</v>
      </c>
      <c r="E779" s="315" t="e">
        <f t="shared" si="12"/>
        <v>#REF!</v>
      </c>
    </row>
    <row r="780" spans="1:5" x14ac:dyDescent="0.2">
      <c r="A780" s="313">
        <v>1761000731</v>
      </c>
      <c r="B780" s="313" t="s">
        <v>121</v>
      </c>
      <c r="D780" s="313" t="e">
        <f>VLOOKUP(A780,#REF!,4,FALSE)</f>
        <v>#REF!</v>
      </c>
      <c r="E780" s="315" t="e">
        <f t="shared" si="12"/>
        <v>#REF!</v>
      </c>
    </row>
    <row r="781" spans="1:5" x14ac:dyDescent="0.2">
      <c r="A781" s="313">
        <v>1761000930</v>
      </c>
      <c r="B781" s="313" t="s">
        <v>788</v>
      </c>
      <c r="C781" s="314">
        <v>560.42999999999995</v>
      </c>
      <c r="D781" s="313" t="e">
        <f>VLOOKUP(A781,#REF!,4,FALSE)</f>
        <v>#REF!</v>
      </c>
      <c r="E781" s="315" t="e">
        <f t="shared" si="12"/>
        <v>#REF!</v>
      </c>
    </row>
    <row r="782" spans="1:5" x14ac:dyDescent="0.2">
      <c r="A782" s="313">
        <v>1764000750</v>
      </c>
      <c r="B782" s="313" t="s">
        <v>1844</v>
      </c>
      <c r="C782" s="314">
        <v>266000</v>
      </c>
      <c r="D782" s="313" t="e">
        <f>VLOOKUP(A782,#REF!,4,FALSE)</f>
        <v>#REF!</v>
      </c>
      <c r="E782" s="315" t="e">
        <f t="shared" si="12"/>
        <v>#REF!</v>
      </c>
    </row>
    <row r="783" spans="1:5" x14ac:dyDescent="0.2">
      <c r="A783" s="313">
        <v>1764000783</v>
      </c>
      <c r="B783" s="313" t="s">
        <v>1462</v>
      </c>
      <c r="C783" s="314">
        <v>125000</v>
      </c>
      <c r="D783" s="313" t="e">
        <f>VLOOKUP(A783,#REF!,4,FALSE)</f>
        <v>#REF!</v>
      </c>
      <c r="E783" s="315" t="e">
        <f t="shared" si="12"/>
        <v>#REF!</v>
      </c>
    </row>
    <row r="784" spans="1:5" x14ac:dyDescent="0.2">
      <c r="A784" s="313">
        <v>1765100810</v>
      </c>
      <c r="B784" s="313" t="s">
        <v>796</v>
      </c>
      <c r="C784" s="314">
        <v>126000</v>
      </c>
      <c r="D784" s="313" t="e">
        <f>VLOOKUP(A784,#REF!,4,FALSE)</f>
        <v>#REF!</v>
      </c>
      <c r="E784" s="315" t="e">
        <f t="shared" si="12"/>
        <v>#REF!</v>
      </c>
    </row>
    <row r="785" spans="1:5" x14ac:dyDescent="0.2">
      <c r="A785" s="313">
        <v>1766000810</v>
      </c>
      <c r="B785" s="313" t="s">
        <v>797</v>
      </c>
      <c r="C785" s="314">
        <v>590000</v>
      </c>
      <c r="D785" s="313" t="e">
        <f>VLOOKUP(A785,#REF!,4,FALSE)</f>
        <v>#REF!</v>
      </c>
      <c r="E785" s="315" t="e">
        <f t="shared" si="12"/>
        <v>#REF!</v>
      </c>
    </row>
    <row r="786" spans="1:5" x14ac:dyDescent="0.2">
      <c r="A786" s="313">
        <v>1767000440</v>
      </c>
      <c r="B786" s="313" t="s">
        <v>558</v>
      </c>
      <c r="C786" s="314">
        <v>1384659</v>
      </c>
      <c r="D786" s="313" t="e">
        <f>VLOOKUP(A786,#REF!,4,FALSE)</f>
        <v>#REF!</v>
      </c>
      <c r="E786" s="315" t="e">
        <f t="shared" si="12"/>
        <v>#REF!</v>
      </c>
    </row>
    <row r="787" spans="1:5" x14ac:dyDescent="0.2">
      <c r="A787" s="313">
        <v>1769000780</v>
      </c>
      <c r="B787" s="313" t="s">
        <v>800</v>
      </c>
      <c r="D787" s="313" t="e">
        <f>VLOOKUP(A787,#REF!,4,FALSE)</f>
        <v>#REF!</v>
      </c>
      <c r="E787" s="315" t="e">
        <f t="shared" si="12"/>
        <v>#REF!</v>
      </c>
    </row>
    <row r="788" spans="1:5" x14ac:dyDescent="0.2">
      <c r="A788" s="313">
        <v>1769000781</v>
      </c>
      <c r="B788" s="313" t="s">
        <v>265</v>
      </c>
      <c r="C788" s="314">
        <v>27000</v>
      </c>
      <c r="D788" s="313" t="e">
        <f>VLOOKUP(A788,#REF!,4,FALSE)</f>
        <v>#REF!</v>
      </c>
      <c r="E788" s="315" t="e">
        <f t="shared" si="12"/>
        <v>#REF!</v>
      </c>
    </row>
    <row r="789" spans="1:5" x14ac:dyDescent="0.2">
      <c r="A789" s="313">
        <v>1769000785</v>
      </c>
      <c r="B789" s="313" t="s">
        <v>801</v>
      </c>
      <c r="C789" s="314">
        <v>130880</v>
      </c>
      <c r="D789" s="313" t="e">
        <f>VLOOKUP(A789,#REF!,4,FALSE)</f>
        <v>#REF!</v>
      </c>
      <c r="E789" s="315" t="e">
        <f t="shared" si="12"/>
        <v>#REF!</v>
      </c>
    </row>
    <row r="790" spans="1:5" x14ac:dyDescent="0.2">
      <c r="A790" s="313">
        <v>1769000810</v>
      </c>
      <c r="B790" s="313" t="s">
        <v>1552</v>
      </c>
      <c r="C790" s="314">
        <v>64000</v>
      </c>
      <c r="D790" s="313" t="e">
        <f>VLOOKUP(A790,#REF!,4,FALSE)</f>
        <v>#REF!</v>
      </c>
      <c r="E790" s="315" t="e">
        <f t="shared" si="12"/>
        <v>#REF!</v>
      </c>
    </row>
    <row r="791" spans="1:5" x14ac:dyDescent="0.2">
      <c r="A791" s="313">
        <v>1772000430</v>
      </c>
      <c r="B791" s="313" t="s">
        <v>1690</v>
      </c>
      <c r="C791" s="314">
        <v>650</v>
      </c>
      <c r="D791" s="313" t="e">
        <f>VLOOKUP(A791,#REF!,4,FALSE)</f>
        <v>#REF!</v>
      </c>
      <c r="E791" s="315" t="e">
        <f t="shared" si="12"/>
        <v>#REF!</v>
      </c>
    </row>
    <row r="792" spans="1:5" x14ac:dyDescent="0.2">
      <c r="A792" s="313">
        <v>1772000511</v>
      </c>
      <c r="B792" s="313" t="s">
        <v>802</v>
      </c>
      <c r="C792" s="314">
        <v>1000</v>
      </c>
      <c r="D792" s="313" t="e">
        <f>VLOOKUP(A792,#REF!,4,FALSE)</f>
        <v>#REF!</v>
      </c>
      <c r="E792" s="315" t="e">
        <f t="shared" si="12"/>
        <v>#REF!</v>
      </c>
    </row>
    <row r="793" spans="1:5" x14ac:dyDescent="0.2">
      <c r="A793" s="313">
        <v>1772000530</v>
      </c>
      <c r="B793" s="313" t="s">
        <v>1847</v>
      </c>
      <c r="C793" s="314">
        <v>95224</v>
      </c>
      <c r="D793" s="313" t="e">
        <f>VLOOKUP(A793,#REF!,4,FALSE)</f>
        <v>#REF!</v>
      </c>
      <c r="E793" s="315" t="e">
        <f t="shared" si="12"/>
        <v>#REF!</v>
      </c>
    </row>
    <row r="794" spans="1:5" x14ac:dyDescent="0.2">
      <c r="A794" s="313">
        <v>1772000550</v>
      </c>
      <c r="B794" s="313" t="s">
        <v>1242</v>
      </c>
      <c r="C794" s="314">
        <v>260000</v>
      </c>
      <c r="D794" s="313" t="e">
        <f>VLOOKUP(A794,#REF!,4,FALSE)</f>
        <v>#REF!</v>
      </c>
      <c r="E794" s="315" t="e">
        <f t="shared" si="12"/>
        <v>#REF!</v>
      </c>
    </row>
    <row r="795" spans="1:5" x14ac:dyDescent="0.2">
      <c r="A795" s="313">
        <v>1772000561</v>
      </c>
      <c r="B795" s="313" t="s">
        <v>664</v>
      </c>
      <c r="C795" s="314">
        <v>750</v>
      </c>
      <c r="D795" s="313" t="e">
        <f>VLOOKUP(A795,#REF!,4,FALSE)</f>
        <v>#REF!</v>
      </c>
      <c r="E795" s="315" t="e">
        <f t="shared" si="12"/>
        <v>#REF!</v>
      </c>
    </row>
    <row r="796" spans="1:5" x14ac:dyDescent="0.2">
      <c r="A796" s="313">
        <v>1772000581</v>
      </c>
      <c r="B796" s="313" t="s">
        <v>1936</v>
      </c>
      <c r="C796" s="314">
        <v>1500</v>
      </c>
      <c r="D796" s="313" t="e">
        <f>VLOOKUP(A796,#REF!,4,FALSE)</f>
        <v>#REF!</v>
      </c>
      <c r="E796" s="315" t="e">
        <f t="shared" si="12"/>
        <v>#REF!</v>
      </c>
    </row>
    <row r="797" spans="1:5" x14ac:dyDescent="0.2">
      <c r="A797" s="313">
        <v>1772000731</v>
      </c>
      <c r="B797" s="313" t="s">
        <v>1849</v>
      </c>
      <c r="C797" s="314">
        <v>0</v>
      </c>
      <c r="D797" s="313" t="e">
        <f>VLOOKUP(A797,#REF!,4,FALSE)</f>
        <v>#REF!</v>
      </c>
      <c r="E797" s="315" t="e">
        <f t="shared" si="12"/>
        <v>#REF!</v>
      </c>
    </row>
    <row r="798" spans="1:5" x14ac:dyDescent="0.2">
      <c r="A798" s="313">
        <v>1772000750</v>
      </c>
      <c r="B798" s="313" t="s">
        <v>714</v>
      </c>
      <c r="C798" s="314">
        <v>0</v>
      </c>
      <c r="D798" s="313" t="e">
        <f>VLOOKUP(A798,#REF!,4,FALSE)</f>
        <v>#REF!</v>
      </c>
      <c r="E798" s="315" t="e">
        <f t="shared" si="12"/>
        <v>#REF!</v>
      </c>
    </row>
    <row r="799" spans="1:5" x14ac:dyDescent="0.2">
      <c r="A799" s="313">
        <v>1772000780</v>
      </c>
      <c r="B799" s="313" t="s">
        <v>580</v>
      </c>
      <c r="C799" s="314">
        <v>6000</v>
      </c>
      <c r="D799" s="313" t="e">
        <f>VLOOKUP(A799,#REF!,4,FALSE)</f>
        <v>#REF!</v>
      </c>
      <c r="E799" s="315" t="e">
        <f t="shared" si="12"/>
        <v>#REF!</v>
      </c>
    </row>
    <row r="800" spans="1:5" x14ac:dyDescent="0.2">
      <c r="A800" s="313">
        <v>1772000910</v>
      </c>
      <c r="B800" s="313" t="s">
        <v>804</v>
      </c>
      <c r="C800" s="314">
        <v>204838</v>
      </c>
      <c r="D800" s="313" t="e">
        <f>VLOOKUP(A800,#REF!,4,FALSE)</f>
        <v>#REF!</v>
      </c>
      <c r="E800" s="315" t="e">
        <f t="shared" si="12"/>
        <v>#REF!</v>
      </c>
    </row>
    <row r="801" spans="1:5" x14ac:dyDescent="0.2">
      <c r="A801" s="313">
        <v>1781000560</v>
      </c>
      <c r="B801" s="313" t="s">
        <v>807</v>
      </c>
      <c r="C801" s="314">
        <v>1250</v>
      </c>
      <c r="D801" s="313" t="e">
        <f>VLOOKUP(A801,#REF!,4,FALSE)</f>
        <v>#REF!</v>
      </c>
      <c r="E801" s="315" t="e">
        <f t="shared" si="12"/>
        <v>#REF!</v>
      </c>
    </row>
    <row r="802" spans="1:5" x14ac:dyDescent="0.2">
      <c r="A802" s="313">
        <v>1781000570</v>
      </c>
      <c r="B802" s="313" t="s">
        <v>1851</v>
      </c>
      <c r="C802" s="314">
        <v>134708</v>
      </c>
      <c r="D802" s="313" t="e">
        <f>VLOOKUP(A802,#REF!,4,FALSE)</f>
        <v>#REF!</v>
      </c>
      <c r="E802" s="315" t="e">
        <f t="shared" si="12"/>
        <v>#REF!</v>
      </c>
    </row>
    <row r="803" spans="1:5" x14ac:dyDescent="0.2">
      <c r="A803" s="313">
        <v>1781000581</v>
      </c>
      <c r="B803" s="313" t="s">
        <v>1852</v>
      </c>
      <c r="C803" s="314">
        <v>3240</v>
      </c>
      <c r="D803" s="313" t="e">
        <f>VLOOKUP(A803,#REF!,4,FALSE)</f>
        <v>#REF!</v>
      </c>
      <c r="E803" s="315" t="e">
        <f t="shared" si="12"/>
        <v>#REF!</v>
      </c>
    </row>
    <row r="804" spans="1:5" x14ac:dyDescent="0.2">
      <c r="A804" s="313">
        <v>1781000750</v>
      </c>
      <c r="B804" s="313" t="s">
        <v>714</v>
      </c>
      <c r="D804" s="313" t="e">
        <f>VLOOKUP(A804,#REF!,4,FALSE)</f>
        <v>#REF!</v>
      </c>
      <c r="E804" s="315" t="e">
        <f t="shared" si="12"/>
        <v>#REF!</v>
      </c>
    </row>
    <row r="805" spans="1:5" x14ac:dyDescent="0.2">
      <c r="A805" s="313">
        <v>1781000752</v>
      </c>
      <c r="B805" s="313" t="s">
        <v>259</v>
      </c>
      <c r="C805" s="314">
        <v>23517</v>
      </c>
      <c r="D805" s="313" t="e">
        <f>VLOOKUP(A805,#REF!,4,FALSE)</f>
        <v>#REF!</v>
      </c>
      <c r="E805" s="315" t="e">
        <f t="shared" si="12"/>
        <v>#REF!</v>
      </c>
    </row>
    <row r="806" spans="1:5" x14ac:dyDescent="0.2">
      <c r="A806" s="313">
        <v>1781000753</v>
      </c>
      <c r="B806" s="313" t="s">
        <v>1640</v>
      </c>
      <c r="C806" s="314">
        <v>57000</v>
      </c>
      <c r="D806" s="313" t="e">
        <f>VLOOKUP(A806,#REF!,4,FALSE)</f>
        <v>#REF!</v>
      </c>
      <c r="E806" s="315" t="e">
        <f t="shared" si="12"/>
        <v>#REF!</v>
      </c>
    </row>
    <row r="807" spans="1:5" x14ac:dyDescent="0.2">
      <c r="A807" s="313">
        <v>1781000930</v>
      </c>
      <c r="B807" s="313" t="s">
        <v>961</v>
      </c>
      <c r="C807" s="314">
        <v>293</v>
      </c>
      <c r="D807" s="313" t="e">
        <f>VLOOKUP(A807,#REF!,4,FALSE)</f>
        <v>#REF!</v>
      </c>
      <c r="E807" s="315" t="e">
        <f t="shared" si="12"/>
        <v>#REF!</v>
      </c>
    </row>
    <row r="808" spans="1:5" x14ac:dyDescent="0.2">
      <c r="A808" s="313">
        <v>1781003731</v>
      </c>
      <c r="B808" s="313" t="s">
        <v>811</v>
      </c>
      <c r="C808" s="314">
        <v>941</v>
      </c>
      <c r="D808" s="313" t="e">
        <f>VLOOKUP(A808,#REF!,4,FALSE)</f>
        <v>#REF!</v>
      </c>
      <c r="E808" s="315" t="e">
        <f t="shared" si="12"/>
        <v>#REF!</v>
      </c>
    </row>
    <row r="809" spans="1:5" x14ac:dyDescent="0.2">
      <c r="A809" s="313">
        <v>1781004731</v>
      </c>
      <c r="B809" s="313" t="s">
        <v>123</v>
      </c>
      <c r="C809" s="314">
        <v>4474</v>
      </c>
      <c r="D809" s="313" t="e">
        <f>VLOOKUP(A809,#REF!,4,FALSE)</f>
        <v>#REF!</v>
      </c>
      <c r="E809" s="315" t="e">
        <f t="shared" si="12"/>
        <v>#REF!</v>
      </c>
    </row>
    <row r="810" spans="1:5" x14ac:dyDescent="0.2">
      <c r="A810" s="313">
        <v>1781005731</v>
      </c>
      <c r="B810" s="313" t="s">
        <v>124</v>
      </c>
      <c r="C810" s="314">
        <v>974</v>
      </c>
      <c r="D810" s="313" t="e">
        <f>VLOOKUP(A810,#REF!,4,FALSE)</f>
        <v>#REF!</v>
      </c>
      <c r="E810" s="315" t="e">
        <f t="shared" si="12"/>
        <v>#REF!</v>
      </c>
    </row>
    <row r="811" spans="1:5" x14ac:dyDescent="0.2">
      <c r="A811" s="313">
        <v>1781006731</v>
      </c>
      <c r="B811" s="313" t="s">
        <v>79</v>
      </c>
      <c r="C811" s="314">
        <v>907</v>
      </c>
      <c r="D811" s="313" t="e">
        <f>VLOOKUP(A811,#REF!,4,FALSE)</f>
        <v>#REF!</v>
      </c>
      <c r="E811" s="315" t="e">
        <f t="shared" si="12"/>
        <v>#REF!</v>
      </c>
    </row>
    <row r="812" spans="1:5" x14ac:dyDescent="0.2">
      <c r="A812" s="313">
        <v>1781007731</v>
      </c>
      <c r="B812" s="313" t="s">
        <v>1619</v>
      </c>
      <c r="C812" s="314">
        <v>939</v>
      </c>
      <c r="D812" s="313" t="e">
        <f>VLOOKUP(A812,#REF!,4,FALSE)</f>
        <v>#REF!</v>
      </c>
      <c r="E812" s="315" t="e">
        <f t="shared" si="12"/>
        <v>#REF!</v>
      </c>
    </row>
    <row r="813" spans="1:5" x14ac:dyDescent="0.2">
      <c r="A813" s="313">
        <v>1781008731</v>
      </c>
      <c r="B813" s="313" t="s">
        <v>1937</v>
      </c>
      <c r="C813" s="314">
        <v>16000</v>
      </c>
      <c r="D813" s="313" t="e">
        <f>VLOOKUP(A813,#REF!,4,FALSE)</f>
        <v>#REF!</v>
      </c>
      <c r="E813" s="315" t="e">
        <f t="shared" si="12"/>
        <v>#REF!</v>
      </c>
    </row>
    <row r="814" spans="1:5" x14ac:dyDescent="0.2">
      <c r="A814" s="313">
        <v>1781100442</v>
      </c>
      <c r="B814" s="313" t="s">
        <v>812</v>
      </c>
      <c r="C814" s="314">
        <v>2500</v>
      </c>
      <c r="D814" s="313" t="e">
        <f>VLOOKUP(A814,#REF!,4,FALSE)</f>
        <v>#REF!</v>
      </c>
      <c r="E814" s="315" t="e">
        <f t="shared" si="12"/>
        <v>#REF!</v>
      </c>
    </row>
    <row r="815" spans="1:5" x14ac:dyDescent="0.2">
      <c r="A815" s="313">
        <v>1781100511</v>
      </c>
      <c r="B815" s="313" t="s">
        <v>813</v>
      </c>
      <c r="C815" s="314">
        <v>3655</v>
      </c>
      <c r="D815" s="313" t="e">
        <f>VLOOKUP(A815,#REF!,4,FALSE)</f>
        <v>#REF!</v>
      </c>
      <c r="E815" s="315" t="e">
        <f t="shared" si="12"/>
        <v>#REF!</v>
      </c>
    </row>
    <row r="816" spans="1:5" x14ac:dyDescent="0.2">
      <c r="A816" s="313">
        <v>1781100521</v>
      </c>
      <c r="B816" s="313" t="s">
        <v>646</v>
      </c>
      <c r="C816" s="314">
        <v>48800</v>
      </c>
      <c r="D816" s="313" t="e">
        <f>VLOOKUP(A816,#REF!,4,FALSE)</f>
        <v>#REF!</v>
      </c>
      <c r="E816" s="315" t="e">
        <f t="shared" si="12"/>
        <v>#REF!</v>
      </c>
    </row>
    <row r="817" spans="1:5" x14ac:dyDescent="0.2">
      <c r="A817" s="313">
        <v>1781100570</v>
      </c>
      <c r="B817" s="313" t="s">
        <v>814</v>
      </c>
      <c r="D817" s="313" t="e">
        <f>VLOOKUP(A817,#REF!,4,FALSE)</f>
        <v>#REF!</v>
      </c>
      <c r="E817" s="315" t="e">
        <f t="shared" si="12"/>
        <v>#REF!</v>
      </c>
    </row>
    <row r="818" spans="1:5" x14ac:dyDescent="0.2">
      <c r="A818" s="313">
        <v>1781100743</v>
      </c>
      <c r="B818" s="313" t="s">
        <v>815</v>
      </c>
      <c r="C818" s="314">
        <v>52000</v>
      </c>
      <c r="D818" s="313" t="e">
        <f>VLOOKUP(A818,#REF!,4,FALSE)</f>
        <v>#REF!</v>
      </c>
      <c r="E818" s="315" t="e">
        <f t="shared" si="12"/>
        <v>#REF!</v>
      </c>
    </row>
    <row r="819" spans="1:5" x14ac:dyDescent="0.2">
      <c r="A819" s="313">
        <v>1781100750</v>
      </c>
      <c r="B819" s="313" t="s">
        <v>816</v>
      </c>
      <c r="C819" s="314">
        <v>732977</v>
      </c>
      <c r="D819" s="313" t="e">
        <f>VLOOKUP(A819,#REF!,4,FALSE)</f>
        <v>#REF!</v>
      </c>
      <c r="E819" s="315" t="e">
        <f t="shared" si="12"/>
        <v>#REF!</v>
      </c>
    </row>
    <row r="820" spans="1:5" x14ac:dyDescent="0.2">
      <c r="A820" s="313">
        <v>1781100751</v>
      </c>
      <c r="B820" s="313" t="s">
        <v>1496</v>
      </c>
      <c r="C820" s="314">
        <v>25932</v>
      </c>
      <c r="D820" s="313" t="e">
        <f>VLOOKUP(A820,#REF!,4,FALSE)</f>
        <v>#REF!</v>
      </c>
      <c r="E820" s="315" t="e">
        <f t="shared" si="12"/>
        <v>#REF!</v>
      </c>
    </row>
    <row r="821" spans="1:5" x14ac:dyDescent="0.2">
      <c r="A821" s="313">
        <v>1781100780</v>
      </c>
      <c r="B821" s="313" t="s">
        <v>580</v>
      </c>
      <c r="C821" s="314">
        <v>175000</v>
      </c>
      <c r="D821" s="313" t="e">
        <f>VLOOKUP(A821,#REF!,4,FALSE)</f>
        <v>#REF!</v>
      </c>
      <c r="E821" s="315" t="e">
        <f t="shared" si="12"/>
        <v>#REF!</v>
      </c>
    </row>
    <row r="822" spans="1:5" x14ac:dyDescent="0.2">
      <c r="A822" s="313">
        <v>1781100930</v>
      </c>
      <c r="B822" s="313" t="s">
        <v>739</v>
      </c>
      <c r="C822" s="314">
        <v>7345</v>
      </c>
      <c r="D822" s="313" t="e">
        <f>VLOOKUP(A822,#REF!,4,FALSE)</f>
        <v>#REF!</v>
      </c>
      <c r="E822" s="315" t="e">
        <f t="shared" si="12"/>
        <v>#REF!</v>
      </c>
    </row>
    <row r="823" spans="1:5" x14ac:dyDescent="0.2">
      <c r="A823" s="313">
        <v>1781200521</v>
      </c>
      <c r="B823" s="313" t="s">
        <v>1637</v>
      </c>
      <c r="C823" s="314">
        <v>39200</v>
      </c>
      <c r="D823" s="313" t="e">
        <f>VLOOKUP(A823,#REF!,4,FALSE)</f>
        <v>#REF!</v>
      </c>
      <c r="E823" s="315" t="e">
        <f t="shared" si="12"/>
        <v>#REF!</v>
      </c>
    </row>
    <row r="824" spans="1:5" x14ac:dyDescent="0.2">
      <c r="A824" s="313">
        <v>1781200743</v>
      </c>
      <c r="B824" s="313" t="s">
        <v>1638</v>
      </c>
      <c r="C824" s="314">
        <v>20000</v>
      </c>
      <c r="D824" s="313" t="e">
        <f>VLOOKUP(A824,#REF!,4,FALSE)</f>
        <v>#REF!</v>
      </c>
      <c r="E824" s="315" t="e">
        <f t="shared" si="12"/>
        <v>#REF!</v>
      </c>
    </row>
    <row r="825" spans="1:5" x14ac:dyDescent="0.2">
      <c r="A825" s="313">
        <v>1781200744</v>
      </c>
      <c r="B825" s="313" t="s">
        <v>1858</v>
      </c>
      <c r="C825" s="314">
        <v>78000</v>
      </c>
      <c r="D825" s="313" t="e">
        <f>VLOOKUP(A825,#REF!,4,FALSE)</f>
        <v>#REF!</v>
      </c>
      <c r="E825" s="315" t="e">
        <f t="shared" si="12"/>
        <v>#REF!</v>
      </c>
    </row>
    <row r="826" spans="1:5" x14ac:dyDescent="0.2">
      <c r="A826" s="313">
        <v>1781365731</v>
      </c>
      <c r="B826" s="313" t="s">
        <v>1495</v>
      </c>
      <c r="D826" s="313" t="e">
        <f>VLOOKUP(A826,#REF!,4,FALSE)</f>
        <v>#REF!</v>
      </c>
      <c r="E826" s="315" t="e">
        <f t="shared" si="12"/>
        <v>#REF!</v>
      </c>
    </row>
    <row r="827" spans="1:5" x14ac:dyDescent="0.2">
      <c r="A827" s="313">
        <v>1781375731</v>
      </c>
      <c r="B827" s="313" t="s">
        <v>1859</v>
      </c>
      <c r="C827" s="314">
        <v>19341</v>
      </c>
      <c r="D827" s="313" t="e">
        <f>VLOOKUP(A827,#REF!,4,FALSE)</f>
        <v>#REF!</v>
      </c>
      <c r="E827" s="315" t="e">
        <f t="shared" si="12"/>
        <v>#REF!</v>
      </c>
    </row>
    <row r="828" spans="1:5" x14ac:dyDescent="0.2">
      <c r="A828" s="313">
        <v>1781385731</v>
      </c>
      <c r="B828" s="313" t="s">
        <v>1860</v>
      </c>
      <c r="C828" s="314">
        <v>17951</v>
      </c>
      <c r="D828" s="313" t="e">
        <f>VLOOKUP(A828,#REF!,4,FALSE)</f>
        <v>#REF!</v>
      </c>
      <c r="E828" s="315" t="e">
        <f t="shared" si="12"/>
        <v>#REF!</v>
      </c>
    </row>
    <row r="829" spans="1:5" x14ac:dyDescent="0.2">
      <c r="A829" s="313">
        <v>1811000422</v>
      </c>
      <c r="B829" s="313" t="s">
        <v>818</v>
      </c>
      <c r="C829" s="314">
        <v>5000</v>
      </c>
      <c r="D829" s="313" t="e">
        <f>VLOOKUP(A829,#REF!,4,FALSE)</f>
        <v>#REF!</v>
      </c>
      <c r="E829" s="315" t="e">
        <f t="shared" si="12"/>
        <v>#REF!</v>
      </c>
    </row>
    <row r="830" spans="1:5" x14ac:dyDescent="0.2">
      <c r="A830" s="313">
        <v>1811000440</v>
      </c>
      <c r="B830" s="313" t="s">
        <v>558</v>
      </c>
      <c r="C830" s="314">
        <v>393050</v>
      </c>
      <c r="D830" s="313" t="e">
        <f>VLOOKUP(A830,#REF!,4,FALSE)</f>
        <v>#REF!</v>
      </c>
      <c r="E830" s="315" t="e">
        <f t="shared" si="12"/>
        <v>#REF!</v>
      </c>
    </row>
    <row r="831" spans="1:5" x14ac:dyDescent="0.2">
      <c r="A831" s="313">
        <v>1811000470</v>
      </c>
      <c r="B831" s="313" t="s">
        <v>820</v>
      </c>
      <c r="C831" s="314">
        <v>400</v>
      </c>
      <c r="D831" s="313" t="e">
        <f>VLOOKUP(A831,#REF!,4,FALSE)</f>
        <v>#REF!</v>
      </c>
      <c r="E831" s="315" t="e">
        <f t="shared" si="12"/>
        <v>#REF!</v>
      </c>
    </row>
    <row r="832" spans="1:5" x14ac:dyDescent="0.2">
      <c r="A832" s="313">
        <v>1811000511</v>
      </c>
      <c r="B832" s="313" t="s">
        <v>697</v>
      </c>
      <c r="C832" s="314">
        <v>5500</v>
      </c>
      <c r="D832" s="313" t="e">
        <f>VLOOKUP(A832,#REF!,4,FALSE)</f>
        <v>#REF!</v>
      </c>
      <c r="E832" s="315" t="e">
        <f t="shared" si="12"/>
        <v>#REF!</v>
      </c>
    </row>
    <row r="833" spans="1:5" x14ac:dyDescent="0.2">
      <c r="A833" s="313">
        <v>1811000512</v>
      </c>
      <c r="B833" s="313" t="s">
        <v>821</v>
      </c>
      <c r="D833" s="313" t="e">
        <f>VLOOKUP(A833,#REF!,4,FALSE)</f>
        <v>#REF!</v>
      </c>
      <c r="E833" s="315" t="e">
        <f t="shared" si="12"/>
        <v>#REF!</v>
      </c>
    </row>
    <row r="834" spans="1:5" x14ac:dyDescent="0.2">
      <c r="A834" s="313">
        <v>1811000530</v>
      </c>
      <c r="B834" s="313" t="s">
        <v>1861</v>
      </c>
      <c r="C834" s="314">
        <v>60967</v>
      </c>
      <c r="D834" s="313" t="e">
        <f>VLOOKUP(A834,#REF!,4,FALSE)</f>
        <v>#REF!</v>
      </c>
      <c r="E834" s="315" t="e">
        <f t="shared" si="12"/>
        <v>#REF!</v>
      </c>
    </row>
    <row r="835" spans="1:5" x14ac:dyDescent="0.2">
      <c r="A835" s="313">
        <v>1811000550</v>
      </c>
      <c r="B835" s="313" t="s">
        <v>822</v>
      </c>
      <c r="C835" s="314">
        <v>632</v>
      </c>
      <c r="D835" s="313" t="e">
        <f>VLOOKUP(A835,#REF!,4,FALSE)</f>
        <v>#REF!</v>
      </c>
      <c r="E835" s="315" t="e">
        <f t="shared" si="12"/>
        <v>#REF!</v>
      </c>
    </row>
    <row r="836" spans="1:5" x14ac:dyDescent="0.2">
      <c r="A836" s="313">
        <v>1811000560</v>
      </c>
      <c r="B836" s="313" t="s">
        <v>823</v>
      </c>
      <c r="C836" s="314">
        <v>4000</v>
      </c>
      <c r="D836" s="313" t="e">
        <f>VLOOKUP(A836,#REF!,4,FALSE)</f>
        <v>#REF!</v>
      </c>
      <c r="E836" s="315" t="e">
        <f t="shared" si="12"/>
        <v>#REF!</v>
      </c>
    </row>
    <row r="837" spans="1:5" x14ac:dyDescent="0.2">
      <c r="A837" s="313">
        <v>1811000570</v>
      </c>
      <c r="B837" s="313" t="s">
        <v>824</v>
      </c>
      <c r="C837" s="314">
        <v>54957</v>
      </c>
      <c r="D837" s="313" t="e">
        <f>VLOOKUP(A837,#REF!,4,FALSE)</f>
        <v>#REF!</v>
      </c>
      <c r="E837" s="315" t="e">
        <f t="shared" si="12"/>
        <v>#REF!</v>
      </c>
    </row>
    <row r="838" spans="1:5" x14ac:dyDescent="0.2">
      <c r="A838" s="313">
        <v>1811000571</v>
      </c>
      <c r="B838" s="313" t="s">
        <v>590</v>
      </c>
      <c r="C838" s="314">
        <v>13800</v>
      </c>
      <c r="D838" s="313" t="e">
        <f>VLOOKUP(A838,#REF!,4,FALSE)</f>
        <v>#REF!</v>
      </c>
      <c r="E838" s="315" t="e">
        <f t="shared" ref="E838:E901" si="13">C838-D838</f>
        <v>#REF!</v>
      </c>
    </row>
    <row r="839" spans="1:5" x14ac:dyDescent="0.2">
      <c r="A839" s="313">
        <v>1811000580</v>
      </c>
      <c r="B839" s="313" t="s">
        <v>825</v>
      </c>
      <c r="C839" s="314">
        <v>8848</v>
      </c>
      <c r="D839" s="313" t="e">
        <f>VLOOKUP(A839,#REF!,4,FALSE)</f>
        <v>#REF!</v>
      </c>
      <c r="E839" s="315" t="e">
        <f t="shared" si="13"/>
        <v>#REF!</v>
      </c>
    </row>
    <row r="840" spans="1:5" x14ac:dyDescent="0.2">
      <c r="A840" s="313">
        <v>1811000581</v>
      </c>
      <c r="B840" s="313" t="s">
        <v>1862</v>
      </c>
      <c r="C840" s="314">
        <v>6600</v>
      </c>
      <c r="D840" s="313" t="e">
        <f>VLOOKUP(A840,#REF!,4,FALSE)</f>
        <v>#REF!</v>
      </c>
      <c r="E840" s="315" t="e">
        <f t="shared" si="13"/>
        <v>#REF!</v>
      </c>
    </row>
    <row r="841" spans="1:5" x14ac:dyDescent="0.2">
      <c r="A841" s="313">
        <v>1811000780</v>
      </c>
      <c r="B841" s="313" t="s">
        <v>580</v>
      </c>
      <c r="C841" s="314">
        <v>6500</v>
      </c>
      <c r="D841" s="313" t="e">
        <f>VLOOKUP(A841,#REF!,4,FALSE)</f>
        <v>#REF!</v>
      </c>
      <c r="E841" s="315" t="e">
        <f t="shared" si="13"/>
        <v>#REF!</v>
      </c>
    </row>
    <row r="842" spans="1:5" x14ac:dyDescent="0.2">
      <c r="A842" s="313">
        <v>1811000910</v>
      </c>
      <c r="B842" s="313" t="s">
        <v>827</v>
      </c>
      <c r="C842" s="314">
        <v>485426</v>
      </c>
      <c r="D842" s="313" t="e">
        <f>VLOOKUP(A842,#REF!,4,FALSE)</f>
        <v>#REF!</v>
      </c>
      <c r="E842" s="315" t="e">
        <f t="shared" si="13"/>
        <v>#REF!</v>
      </c>
    </row>
    <row r="843" spans="1:5" x14ac:dyDescent="0.2">
      <c r="A843" s="313">
        <v>1811000930</v>
      </c>
      <c r="B843" s="313" t="s">
        <v>1864</v>
      </c>
      <c r="C843" s="314">
        <v>5300</v>
      </c>
      <c r="D843" s="313" t="e">
        <f>VLOOKUP(A843,#REF!,4,FALSE)</f>
        <v>#REF!</v>
      </c>
      <c r="E843" s="315" t="e">
        <f t="shared" si="13"/>
        <v>#REF!</v>
      </c>
    </row>
    <row r="844" spans="1:5" x14ac:dyDescent="0.2">
      <c r="A844" s="313">
        <v>1811001530</v>
      </c>
      <c r="B844" s="313" t="s">
        <v>1620</v>
      </c>
      <c r="C844" s="314">
        <v>58381</v>
      </c>
      <c r="D844" s="313" t="e">
        <f>VLOOKUP(A844,#REF!,4,FALSE)</f>
        <v>#REF!</v>
      </c>
      <c r="E844" s="315" t="e">
        <f t="shared" si="13"/>
        <v>#REF!</v>
      </c>
    </row>
    <row r="845" spans="1:5" x14ac:dyDescent="0.2">
      <c r="A845" s="313">
        <v>1811002731</v>
      </c>
      <c r="B845" s="313" t="s">
        <v>1865</v>
      </c>
      <c r="C845" s="314">
        <v>6701</v>
      </c>
      <c r="D845" s="313" t="e">
        <f>VLOOKUP(A845,#REF!,4,FALSE)</f>
        <v>#REF!</v>
      </c>
      <c r="E845" s="315" t="e">
        <f t="shared" si="13"/>
        <v>#REF!</v>
      </c>
    </row>
    <row r="846" spans="1:5" x14ac:dyDescent="0.2">
      <c r="A846" s="313">
        <v>1822000750</v>
      </c>
      <c r="B846" s="313" t="s">
        <v>828</v>
      </c>
      <c r="C846" s="314">
        <v>169000</v>
      </c>
      <c r="D846" s="313" t="e">
        <f>VLOOKUP(A846,#REF!,4,FALSE)</f>
        <v>#REF!</v>
      </c>
      <c r="E846" s="315" t="e">
        <f t="shared" si="13"/>
        <v>#REF!</v>
      </c>
    </row>
    <row r="847" spans="1:5" x14ac:dyDescent="0.2">
      <c r="A847" s="313">
        <v>1822000780</v>
      </c>
      <c r="B847" s="313" t="s">
        <v>829</v>
      </c>
      <c r="C847" s="314">
        <v>2103000</v>
      </c>
      <c r="D847" s="313" t="e">
        <f>VLOOKUP(A847,#REF!,4,FALSE)</f>
        <v>#REF!</v>
      </c>
      <c r="E847" s="315" t="e">
        <f t="shared" si="13"/>
        <v>#REF!</v>
      </c>
    </row>
    <row r="848" spans="1:5" x14ac:dyDescent="0.2">
      <c r="A848" s="313">
        <v>1822000781</v>
      </c>
      <c r="B848" s="313" t="s">
        <v>830</v>
      </c>
      <c r="C848" s="314">
        <v>200000</v>
      </c>
      <c r="D848" s="313" t="e">
        <f>VLOOKUP(A848,#REF!,4,FALSE)</f>
        <v>#REF!</v>
      </c>
      <c r="E848" s="315" t="e">
        <f t="shared" si="13"/>
        <v>#REF!</v>
      </c>
    </row>
    <row r="849" spans="1:5" x14ac:dyDescent="0.2">
      <c r="A849" s="313">
        <v>1822000782</v>
      </c>
      <c r="B849" s="313" t="s">
        <v>831</v>
      </c>
      <c r="C849" s="314">
        <v>794000</v>
      </c>
      <c r="D849" s="313" t="e">
        <f>VLOOKUP(A849,#REF!,4,FALSE)</f>
        <v>#REF!</v>
      </c>
      <c r="E849" s="315" t="e">
        <f t="shared" si="13"/>
        <v>#REF!</v>
      </c>
    </row>
    <row r="850" spans="1:5" x14ac:dyDescent="0.2">
      <c r="A850" s="313">
        <v>1822000783</v>
      </c>
      <c r="B850" s="313" t="s">
        <v>832</v>
      </c>
      <c r="C850" s="314">
        <v>318000</v>
      </c>
      <c r="D850" s="313" t="e">
        <f>VLOOKUP(A850,#REF!,4,FALSE)</f>
        <v>#REF!</v>
      </c>
      <c r="E850" s="315" t="e">
        <f t="shared" si="13"/>
        <v>#REF!</v>
      </c>
    </row>
    <row r="851" spans="1:5" x14ac:dyDescent="0.2">
      <c r="A851" s="313">
        <v>1822000784</v>
      </c>
      <c r="B851" s="313" t="s">
        <v>833</v>
      </c>
      <c r="C851" s="314">
        <v>353000</v>
      </c>
      <c r="D851" s="313" t="e">
        <f>VLOOKUP(A851,#REF!,4,FALSE)</f>
        <v>#REF!</v>
      </c>
      <c r="E851" s="315" t="e">
        <f t="shared" si="13"/>
        <v>#REF!</v>
      </c>
    </row>
    <row r="852" spans="1:5" x14ac:dyDescent="0.2">
      <c r="A852" s="313">
        <v>1822000785</v>
      </c>
      <c r="B852" s="313" t="s">
        <v>834</v>
      </c>
      <c r="C852" s="314">
        <v>6000</v>
      </c>
      <c r="D852" s="313" t="e">
        <f>VLOOKUP(A852,#REF!,4,FALSE)</f>
        <v>#REF!</v>
      </c>
      <c r="E852" s="315" t="e">
        <f t="shared" si="13"/>
        <v>#REF!</v>
      </c>
    </row>
    <row r="853" spans="1:5" x14ac:dyDescent="0.2">
      <c r="A853" s="313">
        <v>1822000786</v>
      </c>
      <c r="B853" s="313" t="s">
        <v>835</v>
      </c>
      <c r="C853" s="314">
        <v>145000</v>
      </c>
      <c r="D853" s="313" t="e">
        <f>VLOOKUP(A853,#REF!,4,FALSE)</f>
        <v>#REF!</v>
      </c>
      <c r="E853" s="315" t="e">
        <f t="shared" si="13"/>
        <v>#REF!</v>
      </c>
    </row>
    <row r="854" spans="1:5" x14ac:dyDescent="0.2">
      <c r="A854" s="313">
        <v>1822000788</v>
      </c>
      <c r="B854" s="313" t="s">
        <v>174</v>
      </c>
      <c r="C854" s="314">
        <v>350000</v>
      </c>
      <c r="D854" s="313" t="e">
        <f>VLOOKUP(A854,#REF!,4,FALSE)</f>
        <v>#REF!</v>
      </c>
      <c r="E854" s="315" t="e">
        <f t="shared" si="13"/>
        <v>#REF!</v>
      </c>
    </row>
    <row r="855" spans="1:5" x14ac:dyDescent="0.2">
      <c r="A855" s="313">
        <v>1822300780</v>
      </c>
      <c r="B855" s="313" t="s">
        <v>837</v>
      </c>
      <c r="C855" s="314">
        <v>710000</v>
      </c>
      <c r="D855" s="313" t="e">
        <f>VLOOKUP(A855,#REF!,4,FALSE)</f>
        <v>#REF!</v>
      </c>
      <c r="E855" s="315" t="e">
        <f t="shared" si="13"/>
        <v>#REF!</v>
      </c>
    </row>
    <row r="856" spans="1:5" x14ac:dyDescent="0.2">
      <c r="A856" s="313">
        <v>1822300781</v>
      </c>
      <c r="B856" s="313" t="s">
        <v>82</v>
      </c>
      <c r="C856" s="314">
        <v>100000</v>
      </c>
      <c r="D856" s="313" t="e">
        <f>VLOOKUP(A856,#REF!,4,FALSE)</f>
        <v>#REF!</v>
      </c>
      <c r="E856" s="315" t="e">
        <f t="shared" si="13"/>
        <v>#REF!</v>
      </c>
    </row>
    <row r="857" spans="1:5" x14ac:dyDescent="0.2">
      <c r="A857" s="313">
        <v>1822300782</v>
      </c>
      <c r="B857" s="313" t="s">
        <v>1461</v>
      </c>
      <c r="C857" s="314">
        <v>20000</v>
      </c>
      <c r="D857" s="313" t="e">
        <f>VLOOKUP(A857,#REF!,4,FALSE)</f>
        <v>#REF!</v>
      </c>
      <c r="E857" s="315" t="e">
        <f t="shared" si="13"/>
        <v>#REF!</v>
      </c>
    </row>
    <row r="858" spans="1:5" x14ac:dyDescent="0.2">
      <c r="A858" s="313">
        <v>1822800780</v>
      </c>
      <c r="B858" s="313" t="s">
        <v>838</v>
      </c>
      <c r="C858" s="314">
        <v>110000</v>
      </c>
      <c r="D858" s="313" t="e">
        <f>VLOOKUP(A858,#REF!,4,FALSE)</f>
        <v>#REF!</v>
      </c>
      <c r="E858" s="315" t="e">
        <f t="shared" si="13"/>
        <v>#REF!</v>
      </c>
    </row>
    <row r="859" spans="1:5" x14ac:dyDescent="0.2">
      <c r="A859" s="313">
        <v>1823000430</v>
      </c>
      <c r="B859" s="313" t="s">
        <v>839</v>
      </c>
      <c r="C859" s="314">
        <v>60000</v>
      </c>
      <c r="D859" s="313" t="e">
        <f>VLOOKUP(A859,#REF!,4,FALSE)</f>
        <v>#REF!</v>
      </c>
      <c r="E859" s="315" t="e">
        <f t="shared" si="13"/>
        <v>#REF!</v>
      </c>
    </row>
    <row r="860" spans="1:5" x14ac:dyDescent="0.2">
      <c r="A860" s="313">
        <v>1823000520</v>
      </c>
      <c r="B860" s="313" t="s">
        <v>841</v>
      </c>
      <c r="C860" s="314">
        <v>10500</v>
      </c>
      <c r="D860" s="313" t="e">
        <f>VLOOKUP(A860,#REF!,4,FALSE)</f>
        <v>#REF!</v>
      </c>
      <c r="E860" s="315" t="e">
        <f t="shared" si="13"/>
        <v>#REF!</v>
      </c>
    </row>
    <row r="861" spans="1:5" x14ac:dyDescent="0.2">
      <c r="A861" s="313">
        <v>1823000540</v>
      </c>
      <c r="B861" s="313" t="s">
        <v>843</v>
      </c>
      <c r="C861" s="314">
        <v>3200</v>
      </c>
      <c r="D861" s="313" t="e">
        <f>VLOOKUP(A861,#REF!,4,FALSE)</f>
        <v>#REF!</v>
      </c>
      <c r="E861" s="315" t="e">
        <f t="shared" si="13"/>
        <v>#REF!</v>
      </c>
    </row>
    <row r="862" spans="1:5" x14ac:dyDescent="0.2">
      <c r="A862" s="313">
        <v>1823000560</v>
      </c>
      <c r="B862" s="313" t="s">
        <v>844</v>
      </c>
      <c r="C862" s="314">
        <v>3000</v>
      </c>
      <c r="D862" s="313" t="e">
        <f>VLOOKUP(A862,#REF!,4,FALSE)</f>
        <v>#REF!</v>
      </c>
      <c r="E862" s="315" t="e">
        <f t="shared" si="13"/>
        <v>#REF!</v>
      </c>
    </row>
    <row r="863" spans="1:5" x14ac:dyDescent="0.2">
      <c r="A863" s="313">
        <v>1823000570</v>
      </c>
      <c r="B863" s="313" t="s">
        <v>1897</v>
      </c>
      <c r="C863" s="314">
        <v>2810</v>
      </c>
      <c r="D863" s="313" t="e">
        <f>VLOOKUP(A863,#REF!,4,FALSE)</f>
        <v>#REF!</v>
      </c>
      <c r="E863" s="315" t="e">
        <f t="shared" si="13"/>
        <v>#REF!</v>
      </c>
    </row>
    <row r="864" spans="1:5" x14ac:dyDescent="0.2">
      <c r="A864" s="313">
        <v>1823000731</v>
      </c>
      <c r="B864" s="313" t="s">
        <v>1151</v>
      </c>
      <c r="C864" s="314">
        <v>18593</v>
      </c>
      <c r="D864" s="313" t="e">
        <f>VLOOKUP(A864,#REF!,4,FALSE)</f>
        <v>#REF!</v>
      </c>
      <c r="E864" s="315" t="e">
        <f t="shared" si="13"/>
        <v>#REF!</v>
      </c>
    </row>
    <row r="865" spans="1:5" x14ac:dyDescent="0.2">
      <c r="A865" s="313">
        <v>1823000740</v>
      </c>
      <c r="B865" s="313" t="s">
        <v>845</v>
      </c>
      <c r="C865" s="314">
        <v>0</v>
      </c>
      <c r="D865" s="313" t="e">
        <f>VLOOKUP(A865,#REF!,4,FALSE)</f>
        <v>#REF!</v>
      </c>
      <c r="E865" s="315" t="e">
        <f t="shared" si="13"/>
        <v>#REF!</v>
      </c>
    </row>
    <row r="866" spans="1:5" x14ac:dyDescent="0.2">
      <c r="A866" s="313">
        <v>1823000750</v>
      </c>
      <c r="B866" s="313" t="s">
        <v>846</v>
      </c>
      <c r="C866" s="314">
        <v>20000</v>
      </c>
      <c r="D866" s="313" t="e">
        <f>VLOOKUP(A866,#REF!,4,FALSE)</f>
        <v>#REF!</v>
      </c>
      <c r="E866" s="315" t="e">
        <f t="shared" si="13"/>
        <v>#REF!</v>
      </c>
    </row>
    <row r="867" spans="1:5" x14ac:dyDescent="0.2">
      <c r="A867" s="313">
        <v>1823000780</v>
      </c>
      <c r="B867" s="313" t="s">
        <v>580</v>
      </c>
      <c r="C867" s="314">
        <v>19800</v>
      </c>
      <c r="D867" s="313" t="e">
        <f>VLOOKUP(A867,#REF!,4,FALSE)</f>
        <v>#REF!</v>
      </c>
      <c r="E867" s="315" t="e">
        <f t="shared" si="13"/>
        <v>#REF!</v>
      </c>
    </row>
    <row r="868" spans="1:5" x14ac:dyDescent="0.2">
      <c r="A868" s="313">
        <v>1823000930</v>
      </c>
      <c r="B868" s="313" t="s">
        <v>847</v>
      </c>
      <c r="C868" s="314">
        <v>4890</v>
      </c>
      <c r="D868" s="313" t="e">
        <f>VLOOKUP(A868,#REF!,4,FALSE)</f>
        <v>#REF!</v>
      </c>
      <c r="E868" s="315" t="e">
        <f t="shared" si="13"/>
        <v>#REF!</v>
      </c>
    </row>
    <row r="869" spans="1:5" x14ac:dyDescent="0.2">
      <c r="A869" s="313">
        <v>1824000810</v>
      </c>
      <c r="B869" s="313" t="s">
        <v>849</v>
      </c>
      <c r="C869" s="314">
        <v>3570402</v>
      </c>
      <c r="D869" s="313" t="e">
        <f>VLOOKUP(A869,#REF!,4,FALSE)</f>
        <v>#REF!</v>
      </c>
      <c r="E869" s="315" t="e">
        <f t="shared" si="13"/>
        <v>#REF!</v>
      </c>
    </row>
    <row r="870" spans="1:5" x14ac:dyDescent="0.2">
      <c r="A870" s="313">
        <v>1824000811</v>
      </c>
      <c r="B870" s="313" t="s">
        <v>177</v>
      </c>
      <c r="C870" s="314">
        <v>350000</v>
      </c>
      <c r="D870" s="313" t="e">
        <f>VLOOKUP(A870,#REF!,4,FALSE)</f>
        <v>#REF!</v>
      </c>
      <c r="E870" s="315" t="e">
        <f t="shared" si="13"/>
        <v>#REF!</v>
      </c>
    </row>
    <row r="871" spans="1:5" x14ac:dyDescent="0.2">
      <c r="A871" s="313">
        <v>1824000812</v>
      </c>
      <c r="B871" s="313" t="s">
        <v>850</v>
      </c>
      <c r="C871" s="314">
        <v>80000</v>
      </c>
      <c r="D871" s="313" t="e">
        <f>VLOOKUP(A871,#REF!,4,FALSE)</f>
        <v>#REF!</v>
      </c>
      <c r="E871" s="315" t="e">
        <f t="shared" si="13"/>
        <v>#REF!</v>
      </c>
    </row>
    <row r="872" spans="1:5" x14ac:dyDescent="0.2">
      <c r="A872" s="313">
        <v>1824000813</v>
      </c>
      <c r="B872" s="313" t="s">
        <v>178</v>
      </c>
      <c r="C872" s="314">
        <v>206160</v>
      </c>
      <c r="D872" s="313" t="e">
        <f>VLOOKUP(A872,#REF!,4,FALSE)</f>
        <v>#REF!</v>
      </c>
      <c r="E872" s="315" t="e">
        <f t="shared" si="13"/>
        <v>#REF!</v>
      </c>
    </row>
    <row r="873" spans="1:5" x14ac:dyDescent="0.2">
      <c r="A873" s="313">
        <v>1824000814</v>
      </c>
      <c r="B873" s="313" t="s">
        <v>851</v>
      </c>
      <c r="C873" s="314">
        <v>60000</v>
      </c>
      <c r="D873" s="313" t="e">
        <f>VLOOKUP(A873,#REF!,4,FALSE)</f>
        <v>#REF!</v>
      </c>
      <c r="E873" s="315" t="e">
        <f t="shared" si="13"/>
        <v>#REF!</v>
      </c>
    </row>
    <row r="874" spans="1:5" x14ac:dyDescent="0.2">
      <c r="A874" s="313">
        <v>1824000816</v>
      </c>
      <c r="B874" s="313" t="s">
        <v>1166</v>
      </c>
      <c r="C874" s="314">
        <v>80000</v>
      </c>
      <c r="D874" s="313" t="e">
        <f>VLOOKUP(A874,#REF!,4,FALSE)</f>
        <v>#REF!</v>
      </c>
      <c r="E874" s="315" t="e">
        <f t="shared" si="13"/>
        <v>#REF!</v>
      </c>
    </row>
    <row r="875" spans="1:5" x14ac:dyDescent="0.2">
      <c r="A875" s="313">
        <v>1824000817</v>
      </c>
      <c r="B875" s="313" t="s">
        <v>1621</v>
      </c>
      <c r="C875" s="314">
        <v>30000</v>
      </c>
      <c r="D875" s="313" t="e">
        <f>VLOOKUP(A875,#REF!,4,FALSE)</f>
        <v>#REF!</v>
      </c>
      <c r="E875" s="315" t="e">
        <f t="shared" si="13"/>
        <v>#REF!</v>
      </c>
    </row>
    <row r="876" spans="1:5" x14ac:dyDescent="0.2">
      <c r="A876" s="313">
        <v>1824000818</v>
      </c>
      <c r="B876" s="313" t="s">
        <v>1622</v>
      </c>
      <c r="C876" s="314">
        <v>30000</v>
      </c>
      <c r="D876" s="313" t="e">
        <f>VLOOKUP(A876,#REF!,4,FALSE)</f>
        <v>#REF!</v>
      </c>
      <c r="E876" s="315" t="e">
        <f t="shared" si="13"/>
        <v>#REF!</v>
      </c>
    </row>
    <row r="877" spans="1:5" x14ac:dyDescent="0.2">
      <c r="A877" s="313">
        <v>1825000530</v>
      </c>
      <c r="B877" s="313" t="s">
        <v>1623</v>
      </c>
      <c r="C877" s="314">
        <v>54993</v>
      </c>
      <c r="D877" s="313" t="e">
        <f>VLOOKUP(A877,#REF!,4,FALSE)</f>
        <v>#REF!</v>
      </c>
      <c r="E877" s="315" t="e">
        <f t="shared" si="13"/>
        <v>#REF!</v>
      </c>
    </row>
    <row r="878" spans="1:5" x14ac:dyDescent="0.2">
      <c r="A878" s="313">
        <v>1825200420</v>
      </c>
      <c r="B878" s="313" t="s">
        <v>852</v>
      </c>
      <c r="C878" s="314">
        <v>40000</v>
      </c>
      <c r="D878" s="313" t="e">
        <f>VLOOKUP(A878,#REF!,4,FALSE)</f>
        <v>#REF!</v>
      </c>
      <c r="E878" s="315" t="e">
        <f t="shared" si="13"/>
        <v>#REF!</v>
      </c>
    </row>
    <row r="879" spans="1:5" x14ac:dyDescent="0.2">
      <c r="A879" s="313">
        <v>1825200430</v>
      </c>
      <c r="B879" s="313" t="s">
        <v>853</v>
      </c>
      <c r="C879" s="314">
        <v>84000</v>
      </c>
      <c r="D879" s="313" t="e">
        <f>VLOOKUP(A879,#REF!,4,FALSE)</f>
        <v>#REF!</v>
      </c>
      <c r="E879" s="315" t="e">
        <f t="shared" si="13"/>
        <v>#REF!</v>
      </c>
    </row>
    <row r="880" spans="1:5" x14ac:dyDescent="0.2">
      <c r="A880" s="313">
        <v>1825200433</v>
      </c>
      <c r="B880" s="313" t="s">
        <v>854</v>
      </c>
      <c r="C880" s="314">
        <v>6500</v>
      </c>
      <c r="D880" s="313" t="e">
        <f>VLOOKUP(A880,#REF!,4,FALSE)</f>
        <v>#REF!</v>
      </c>
      <c r="E880" s="315" t="e">
        <f t="shared" si="13"/>
        <v>#REF!</v>
      </c>
    </row>
    <row r="881" spans="1:5" x14ac:dyDescent="0.2">
      <c r="A881" s="313">
        <v>1825200450</v>
      </c>
      <c r="B881" s="313" t="s">
        <v>855</v>
      </c>
      <c r="C881" s="314">
        <v>8000</v>
      </c>
      <c r="D881" s="313" t="e">
        <f>VLOOKUP(A881,#REF!,4,FALSE)</f>
        <v>#REF!</v>
      </c>
      <c r="E881" s="315" t="e">
        <f t="shared" si="13"/>
        <v>#REF!</v>
      </c>
    </row>
    <row r="882" spans="1:5" x14ac:dyDescent="0.2">
      <c r="A882" s="313">
        <v>1825200470</v>
      </c>
      <c r="B882" s="313" t="s">
        <v>856</v>
      </c>
      <c r="C882" s="314">
        <v>1000</v>
      </c>
      <c r="D882" s="313" t="e">
        <f>VLOOKUP(A882,#REF!,4,FALSE)</f>
        <v>#REF!</v>
      </c>
      <c r="E882" s="315" t="e">
        <f t="shared" si="13"/>
        <v>#REF!</v>
      </c>
    </row>
    <row r="883" spans="1:5" x14ac:dyDescent="0.2">
      <c r="A883" s="313">
        <v>1825200511</v>
      </c>
      <c r="B883" s="313" t="s">
        <v>1624</v>
      </c>
      <c r="C883" s="314">
        <v>4500</v>
      </c>
      <c r="D883" s="313" t="e">
        <f>VLOOKUP(A883,#REF!,4,FALSE)</f>
        <v>#REF!</v>
      </c>
      <c r="E883" s="315" t="e">
        <f t="shared" si="13"/>
        <v>#REF!</v>
      </c>
    </row>
    <row r="884" spans="1:5" x14ac:dyDescent="0.2">
      <c r="A884" s="313">
        <v>1825200512</v>
      </c>
      <c r="B884" s="313" t="s">
        <v>857</v>
      </c>
      <c r="C884" s="314">
        <v>41940</v>
      </c>
      <c r="D884" s="313" t="e">
        <f>VLOOKUP(A884,#REF!,4,FALSE)</f>
        <v>#REF!</v>
      </c>
      <c r="E884" s="315" t="e">
        <f t="shared" si="13"/>
        <v>#REF!</v>
      </c>
    </row>
    <row r="885" spans="1:5" x14ac:dyDescent="0.2">
      <c r="A885" s="313">
        <v>1825200520</v>
      </c>
      <c r="B885" s="313" t="s">
        <v>858</v>
      </c>
      <c r="C885" s="314">
        <v>8000</v>
      </c>
      <c r="D885" s="313" t="e">
        <f>VLOOKUP(A885,#REF!,4,FALSE)</f>
        <v>#REF!</v>
      </c>
      <c r="E885" s="315" t="e">
        <f t="shared" si="13"/>
        <v>#REF!</v>
      </c>
    </row>
    <row r="886" spans="1:5" x14ac:dyDescent="0.2">
      <c r="A886" s="313">
        <v>1825200540</v>
      </c>
      <c r="B886" s="313" t="s">
        <v>859</v>
      </c>
      <c r="C886" s="314">
        <v>5410</v>
      </c>
      <c r="D886" s="313" t="e">
        <f>VLOOKUP(A886,#REF!,4,FALSE)</f>
        <v>#REF!</v>
      </c>
      <c r="E886" s="315" t="e">
        <f t="shared" si="13"/>
        <v>#REF!</v>
      </c>
    </row>
    <row r="887" spans="1:5" x14ac:dyDescent="0.2">
      <c r="A887" s="313">
        <v>1825200550</v>
      </c>
      <c r="B887" s="313" t="s">
        <v>860</v>
      </c>
      <c r="C887" s="314">
        <v>8890</v>
      </c>
      <c r="D887" s="313" t="e">
        <f>VLOOKUP(A887,#REF!,4,FALSE)</f>
        <v>#REF!</v>
      </c>
      <c r="E887" s="315" t="e">
        <f t="shared" si="13"/>
        <v>#REF!</v>
      </c>
    </row>
    <row r="888" spans="1:5" x14ac:dyDescent="0.2">
      <c r="A888" s="313">
        <v>1825200560</v>
      </c>
      <c r="B888" s="313" t="s">
        <v>861</v>
      </c>
      <c r="C888" s="314">
        <v>2072</v>
      </c>
      <c r="D888" s="313" t="e">
        <f>VLOOKUP(A888,#REF!,4,FALSE)</f>
        <v>#REF!</v>
      </c>
      <c r="E888" s="315" t="e">
        <f t="shared" si="13"/>
        <v>#REF!</v>
      </c>
    </row>
    <row r="889" spans="1:5" x14ac:dyDescent="0.2">
      <c r="A889" s="313">
        <v>1825200570</v>
      </c>
      <c r="B889" s="313" t="s">
        <v>1625</v>
      </c>
      <c r="C889" s="314">
        <v>2808</v>
      </c>
      <c r="D889" s="313" t="e">
        <f>VLOOKUP(A889,#REF!,4,FALSE)</f>
        <v>#REF!</v>
      </c>
      <c r="E889" s="315" t="e">
        <f t="shared" si="13"/>
        <v>#REF!</v>
      </c>
    </row>
    <row r="890" spans="1:5" x14ac:dyDescent="0.2">
      <c r="A890" s="313">
        <v>1825200581</v>
      </c>
      <c r="B890" s="313" t="s">
        <v>1900</v>
      </c>
      <c r="C890" s="314">
        <v>7500</v>
      </c>
      <c r="D890" s="313" t="e">
        <f>VLOOKUP(A890,#REF!,4,FALSE)</f>
        <v>#REF!</v>
      </c>
      <c r="E890" s="315" t="e">
        <f t="shared" si="13"/>
        <v>#REF!</v>
      </c>
    </row>
    <row r="891" spans="1:5" x14ac:dyDescent="0.2">
      <c r="A891" s="313">
        <v>1825200720</v>
      </c>
      <c r="B891" s="313" t="s">
        <v>862</v>
      </c>
      <c r="C891" s="314">
        <v>4000</v>
      </c>
      <c r="D891" s="313" t="e">
        <f>VLOOKUP(A891,#REF!,4,FALSE)</f>
        <v>#REF!</v>
      </c>
      <c r="E891" s="315" t="e">
        <f t="shared" si="13"/>
        <v>#REF!</v>
      </c>
    </row>
    <row r="892" spans="1:5" x14ac:dyDescent="0.2">
      <c r="A892" s="313">
        <v>1825200732</v>
      </c>
      <c r="B892" s="313" t="s">
        <v>863</v>
      </c>
      <c r="C892" s="314">
        <v>20000</v>
      </c>
      <c r="D892" s="313" t="e">
        <f>VLOOKUP(A892,#REF!,4,FALSE)</f>
        <v>#REF!</v>
      </c>
      <c r="E892" s="315" t="e">
        <f t="shared" si="13"/>
        <v>#REF!</v>
      </c>
    </row>
    <row r="893" spans="1:5" x14ac:dyDescent="0.2">
      <c r="A893" s="313">
        <v>1825200740</v>
      </c>
      <c r="B893" s="313" t="s">
        <v>737</v>
      </c>
      <c r="C893" s="314">
        <v>12000</v>
      </c>
      <c r="D893" s="313" t="e">
        <f>VLOOKUP(A893,#REF!,4,FALSE)</f>
        <v>#REF!</v>
      </c>
      <c r="E893" s="315" t="e">
        <f t="shared" si="13"/>
        <v>#REF!</v>
      </c>
    </row>
    <row r="894" spans="1:5" x14ac:dyDescent="0.2">
      <c r="A894" s="313">
        <v>1825200750</v>
      </c>
      <c r="B894" s="313" t="s">
        <v>864</v>
      </c>
      <c r="C894" s="314">
        <v>83428</v>
      </c>
      <c r="D894" s="313" t="e">
        <f>VLOOKUP(A894,#REF!,4,FALSE)</f>
        <v>#REF!</v>
      </c>
      <c r="E894" s="315" t="e">
        <f t="shared" si="13"/>
        <v>#REF!</v>
      </c>
    </row>
    <row r="895" spans="1:5" x14ac:dyDescent="0.2">
      <c r="A895" s="313">
        <v>1825200760</v>
      </c>
      <c r="B895" s="313" t="s">
        <v>1626</v>
      </c>
      <c r="D895" s="313" t="e">
        <f>VLOOKUP(A895,#REF!,4,FALSE)</f>
        <v>#REF!</v>
      </c>
      <c r="E895" s="315" t="e">
        <f t="shared" si="13"/>
        <v>#REF!</v>
      </c>
    </row>
    <row r="896" spans="1:5" x14ac:dyDescent="0.2">
      <c r="A896" s="313">
        <v>1825200780</v>
      </c>
      <c r="B896" s="313" t="s">
        <v>865</v>
      </c>
      <c r="C896" s="314">
        <v>3060</v>
      </c>
      <c r="D896" s="313" t="e">
        <f>VLOOKUP(A896,#REF!,4,FALSE)</f>
        <v>#REF!</v>
      </c>
      <c r="E896" s="315" t="e">
        <f t="shared" si="13"/>
        <v>#REF!</v>
      </c>
    </row>
    <row r="897" spans="1:5" x14ac:dyDescent="0.2">
      <c r="A897" s="313">
        <v>1825200786</v>
      </c>
      <c r="B897" s="313" t="s">
        <v>867</v>
      </c>
      <c r="C897" s="314">
        <v>31000</v>
      </c>
      <c r="D897" s="313" t="e">
        <f>VLOOKUP(A897,#REF!,4,FALSE)</f>
        <v>#REF!</v>
      </c>
      <c r="E897" s="315" t="e">
        <f t="shared" si="13"/>
        <v>#REF!</v>
      </c>
    </row>
    <row r="898" spans="1:5" x14ac:dyDescent="0.2">
      <c r="A898" s="313">
        <v>1825200930</v>
      </c>
      <c r="B898" s="313" t="s">
        <v>868</v>
      </c>
      <c r="C898" s="314">
        <v>16000</v>
      </c>
      <c r="D898" s="313" t="e">
        <f>VLOOKUP(A898,#REF!,4,FALSE)</f>
        <v>#REF!</v>
      </c>
      <c r="E898" s="315" t="e">
        <f t="shared" si="13"/>
        <v>#REF!</v>
      </c>
    </row>
    <row r="899" spans="1:5" x14ac:dyDescent="0.2">
      <c r="A899" s="313">
        <v>1826200830</v>
      </c>
      <c r="B899" s="313" t="s">
        <v>872</v>
      </c>
      <c r="C899" s="314">
        <v>45000</v>
      </c>
      <c r="D899" s="313" t="e">
        <f>VLOOKUP(A899,#REF!,4,FALSE)</f>
        <v>#REF!</v>
      </c>
      <c r="E899" s="315" t="e">
        <f t="shared" si="13"/>
        <v>#REF!</v>
      </c>
    </row>
    <row r="900" spans="1:5" x14ac:dyDescent="0.2">
      <c r="A900" s="313">
        <v>1826400410</v>
      </c>
      <c r="B900" s="313" t="s">
        <v>873</v>
      </c>
      <c r="D900" s="313" t="e">
        <f>VLOOKUP(A900,#REF!,4,FALSE)</f>
        <v>#REF!</v>
      </c>
      <c r="E900" s="315" t="e">
        <f t="shared" si="13"/>
        <v>#REF!</v>
      </c>
    </row>
    <row r="901" spans="1:5" x14ac:dyDescent="0.2">
      <c r="A901" s="313">
        <v>1826400430</v>
      </c>
      <c r="B901" s="313" t="s">
        <v>874</v>
      </c>
      <c r="C901" s="314">
        <v>50000</v>
      </c>
      <c r="D901" s="313" t="e">
        <f>VLOOKUP(A901,#REF!,4,FALSE)</f>
        <v>#REF!</v>
      </c>
      <c r="E901" s="315" t="e">
        <f t="shared" si="13"/>
        <v>#REF!</v>
      </c>
    </row>
    <row r="902" spans="1:5" x14ac:dyDescent="0.2">
      <c r="A902" s="313">
        <v>1826400540</v>
      </c>
      <c r="B902" s="313" t="s">
        <v>875</v>
      </c>
      <c r="C902" s="314">
        <v>3600</v>
      </c>
      <c r="D902" s="313" t="e">
        <f>VLOOKUP(A902,#REF!,4,FALSE)</f>
        <v>#REF!</v>
      </c>
      <c r="E902" s="315" t="e">
        <f t="shared" ref="E902:E965" si="14">C902-D902</f>
        <v>#REF!</v>
      </c>
    </row>
    <row r="903" spans="1:5" x14ac:dyDescent="0.2">
      <c r="A903" s="313">
        <v>1826500581</v>
      </c>
      <c r="B903" s="313" t="s">
        <v>1902</v>
      </c>
      <c r="C903" s="314">
        <v>240</v>
      </c>
      <c r="D903" s="313" t="e">
        <f>VLOOKUP(A903,#REF!,4,FALSE)</f>
        <v>#REF!</v>
      </c>
      <c r="E903" s="315" t="e">
        <f t="shared" si="14"/>
        <v>#REF!</v>
      </c>
    </row>
    <row r="904" spans="1:5" x14ac:dyDescent="0.2">
      <c r="A904" s="313">
        <v>1826500780</v>
      </c>
      <c r="B904" s="313" t="s">
        <v>876</v>
      </c>
      <c r="C904" s="314">
        <v>64760</v>
      </c>
      <c r="D904" s="313" t="e">
        <f>VLOOKUP(A904,#REF!,4,FALSE)</f>
        <v>#REF!</v>
      </c>
      <c r="E904" s="315" t="e">
        <f t="shared" si="14"/>
        <v>#REF!</v>
      </c>
    </row>
    <row r="905" spans="1:5" x14ac:dyDescent="0.2">
      <c r="A905" s="313">
        <v>1829200750</v>
      </c>
      <c r="B905" s="313" t="s">
        <v>878</v>
      </c>
      <c r="C905" s="314">
        <v>900000</v>
      </c>
      <c r="D905" s="313" t="e">
        <f>VLOOKUP(A905,#REF!,4,FALSE)</f>
        <v>#REF!</v>
      </c>
      <c r="E905" s="315" t="e">
        <f t="shared" si="14"/>
        <v>#REF!</v>
      </c>
    </row>
    <row r="906" spans="1:5" x14ac:dyDescent="0.2">
      <c r="A906" s="313">
        <v>1829200751</v>
      </c>
      <c r="B906" s="313" t="s">
        <v>1545</v>
      </c>
      <c r="C906" s="314">
        <v>130000</v>
      </c>
      <c r="D906" s="313" t="e">
        <f>VLOOKUP(A906,#REF!,4,FALSE)</f>
        <v>#REF!</v>
      </c>
      <c r="E906" s="315" t="e">
        <f t="shared" si="14"/>
        <v>#REF!</v>
      </c>
    </row>
    <row r="907" spans="1:5" x14ac:dyDescent="0.2">
      <c r="A907" s="313">
        <v>1829900430</v>
      </c>
      <c r="B907" s="313" t="s">
        <v>1154</v>
      </c>
      <c r="C907" s="314">
        <v>123000</v>
      </c>
      <c r="D907" s="313" t="e">
        <f>VLOOKUP(A907,#REF!,4,FALSE)</f>
        <v>#REF!</v>
      </c>
      <c r="E907" s="315" t="e">
        <f t="shared" si="14"/>
        <v>#REF!</v>
      </c>
    </row>
    <row r="908" spans="1:5" x14ac:dyDescent="0.2">
      <c r="A908" s="313">
        <v>1829900431</v>
      </c>
      <c r="B908" s="313" t="s">
        <v>1546</v>
      </c>
      <c r="C908" s="314">
        <v>30000</v>
      </c>
      <c r="D908" s="313" t="e">
        <f>VLOOKUP(A908,#REF!,4,FALSE)</f>
        <v>#REF!</v>
      </c>
      <c r="E908" s="315" t="e">
        <f t="shared" si="14"/>
        <v>#REF!</v>
      </c>
    </row>
    <row r="909" spans="1:5" x14ac:dyDescent="0.2">
      <c r="A909" s="313">
        <v>1829900750</v>
      </c>
      <c r="B909" s="313" t="s">
        <v>879</v>
      </c>
      <c r="C909" s="314">
        <v>843450</v>
      </c>
      <c r="D909" s="313" t="e">
        <f>VLOOKUP(A909,#REF!,4,FALSE)</f>
        <v>#REF!</v>
      </c>
      <c r="E909" s="315" t="e">
        <f t="shared" si="14"/>
        <v>#REF!</v>
      </c>
    </row>
    <row r="910" spans="1:5" x14ac:dyDescent="0.2">
      <c r="A910" s="313">
        <v>1829900751</v>
      </c>
      <c r="B910" s="313" t="s">
        <v>1488</v>
      </c>
      <c r="D910" s="313" t="e">
        <f>VLOOKUP(A910,#REF!,4,FALSE)</f>
        <v>#REF!</v>
      </c>
      <c r="E910" s="315" t="e">
        <f t="shared" si="14"/>
        <v>#REF!</v>
      </c>
    </row>
    <row r="911" spans="1:5" x14ac:dyDescent="0.2">
      <c r="A911" s="313">
        <v>1829900810</v>
      </c>
      <c r="B911" s="313" t="s">
        <v>794</v>
      </c>
      <c r="C911" s="314">
        <v>3465000</v>
      </c>
      <c r="D911" s="313" t="e">
        <f>VLOOKUP(A911,#REF!,4,FALSE)</f>
        <v>#REF!</v>
      </c>
      <c r="E911" s="315" t="e">
        <f t="shared" si="14"/>
        <v>#REF!</v>
      </c>
    </row>
    <row r="912" spans="1:5" x14ac:dyDescent="0.2">
      <c r="A912" s="313">
        <v>1829900811</v>
      </c>
      <c r="B912" s="313" t="s">
        <v>880</v>
      </c>
      <c r="C912" s="314">
        <v>1260</v>
      </c>
      <c r="D912" s="313" t="e">
        <f>VLOOKUP(A912,#REF!,4,FALSE)</f>
        <v>#REF!</v>
      </c>
      <c r="E912" s="315" t="e">
        <f t="shared" si="14"/>
        <v>#REF!</v>
      </c>
    </row>
    <row r="913" spans="1:5" x14ac:dyDescent="0.2">
      <c r="A913" s="313">
        <v>1829900910</v>
      </c>
      <c r="B913" s="313" t="s">
        <v>881</v>
      </c>
      <c r="C913" s="314">
        <v>108378</v>
      </c>
      <c r="D913" s="313" t="e">
        <f>VLOOKUP(A913,#REF!,4,FALSE)</f>
        <v>#REF!</v>
      </c>
      <c r="E913" s="315" t="e">
        <f t="shared" si="14"/>
        <v>#REF!</v>
      </c>
    </row>
    <row r="914" spans="1:5" x14ac:dyDescent="0.2">
      <c r="A914" s="313">
        <v>1829910810</v>
      </c>
      <c r="B914" s="313" t="s">
        <v>882</v>
      </c>
      <c r="C914" s="314">
        <v>257000</v>
      </c>
      <c r="D914" s="313" t="e">
        <f>VLOOKUP(A914,#REF!,4,FALSE)</f>
        <v>#REF!</v>
      </c>
      <c r="E914" s="315" t="e">
        <f t="shared" si="14"/>
        <v>#REF!</v>
      </c>
    </row>
    <row r="915" spans="1:5" x14ac:dyDescent="0.2">
      <c r="A915" s="313">
        <v>1836100810</v>
      </c>
      <c r="B915" s="313" t="s">
        <v>883</v>
      </c>
      <c r="C915" s="314">
        <v>180000</v>
      </c>
      <c r="D915" s="313" t="e">
        <f>VLOOKUP(A915,#REF!,4,FALSE)</f>
        <v>#REF!</v>
      </c>
      <c r="E915" s="315" t="e">
        <f t="shared" si="14"/>
        <v>#REF!</v>
      </c>
    </row>
    <row r="916" spans="1:5" x14ac:dyDescent="0.2">
      <c r="A916" s="313">
        <v>1851000750</v>
      </c>
      <c r="B916" s="313" t="s">
        <v>1915</v>
      </c>
      <c r="C916" s="314">
        <v>119372</v>
      </c>
      <c r="D916" s="313" t="e">
        <f>VLOOKUP(A916,#REF!,4,FALSE)</f>
        <v>#REF!</v>
      </c>
      <c r="E916" s="315" t="e">
        <f t="shared" si="14"/>
        <v>#REF!</v>
      </c>
    </row>
    <row r="917" spans="1:5" x14ac:dyDescent="0.2">
      <c r="A917" s="313">
        <v>1851000780</v>
      </c>
      <c r="B917" s="313" t="s">
        <v>1916</v>
      </c>
      <c r="C917" s="314">
        <v>440</v>
      </c>
      <c r="D917" s="313" t="e">
        <f>VLOOKUP(A917,#REF!,4,FALSE)</f>
        <v>#REF!</v>
      </c>
      <c r="E917" s="315" t="e">
        <f t="shared" si="14"/>
        <v>#REF!</v>
      </c>
    </row>
    <row r="918" spans="1:5" x14ac:dyDescent="0.2">
      <c r="A918" s="313">
        <v>1851000810</v>
      </c>
      <c r="B918" s="313" t="s">
        <v>794</v>
      </c>
      <c r="C918" s="314">
        <v>1710000</v>
      </c>
      <c r="D918" s="313" t="e">
        <f>VLOOKUP(A918,#REF!,4,FALSE)</f>
        <v>#REF!</v>
      </c>
      <c r="E918" s="315" t="e">
        <f t="shared" si="14"/>
        <v>#REF!</v>
      </c>
    </row>
    <row r="919" spans="1:5" x14ac:dyDescent="0.2">
      <c r="A919" s="313">
        <v>1851000910</v>
      </c>
      <c r="B919" s="313" t="s">
        <v>1628</v>
      </c>
      <c r="C919" s="314">
        <v>160000</v>
      </c>
      <c r="D919" s="313" t="e">
        <f>VLOOKUP(A919,#REF!,4,FALSE)</f>
        <v>#REF!</v>
      </c>
      <c r="E919" s="315" t="e">
        <f t="shared" si="14"/>
        <v>#REF!</v>
      </c>
    </row>
    <row r="920" spans="1:5" x14ac:dyDescent="0.2">
      <c r="A920" s="313">
        <v>1860000410</v>
      </c>
      <c r="B920" s="313" t="s">
        <v>873</v>
      </c>
      <c r="C920" s="314">
        <v>144231</v>
      </c>
      <c r="D920" s="313" t="e">
        <f>VLOOKUP(A920,#REF!,4,FALSE)</f>
        <v>#REF!</v>
      </c>
      <c r="E920" s="315" t="e">
        <f t="shared" si="14"/>
        <v>#REF!</v>
      </c>
    </row>
    <row r="921" spans="1:5" x14ac:dyDescent="0.2">
      <c r="A921" s="313">
        <v>1860000470</v>
      </c>
      <c r="B921" s="313" t="s">
        <v>884</v>
      </c>
      <c r="C921" s="314">
        <v>1500</v>
      </c>
      <c r="D921" s="313" t="e">
        <f>VLOOKUP(A921,#REF!,4,FALSE)</f>
        <v>#REF!</v>
      </c>
      <c r="E921" s="315" t="e">
        <f t="shared" si="14"/>
        <v>#REF!</v>
      </c>
    </row>
    <row r="922" spans="1:5" x14ac:dyDescent="0.2">
      <c r="A922" s="313">
        <v>1860000511</v>
      </c>
      <c r="B922" s="313" t="s">
        <v>1918</v>
      </c>
      <c r="C922" s="314">
        <v>700</v>
      </c>
      <c r="D922" s="313" t="e">
        <f>VLOOKUP(A922,#REF!,4,FALSE)</f>
        <v>#REF!</v>
      </c>
      <c r="E922" s="315" t="e">
        <f t="shared" si="14"/>
        <v>#REF!</v>
      </c>
    </row>
    <row r="923" spans="1:5" x14ac:dyDescent="0.2">
      <c r="A923" s="313">
        <v>1860000540</v>
      </c>
      <c r="B923" s="313" t="s">
        <v>209</v>
      </c>
      <c r="C923" s="314">
        <v>4440</v>
      </c>
      <c r="D923" s="313" t="e">
        <f>VLOOKUP(A923,#REF!,4,FALSE)</f>
        <v>#REF!</v>
      </c>
      <c r="E923" s="315" t="e">
        <f t="shared" si="14"/>
        <v>#REF!</v>
      </c>
    </row>
    <row r="924" spans="1:5" x14ac:dyDescent="0.2">
      <c r="A924" s="313">
        <v>1860000581</v>
      </c>
      <c r="B924" s="313" t="s">
        <v>1919</v>
      </c>
      <c r="C924" s="314">
        <v>4800</v>
      </c>
      <c r="D924" s="313" t="e">
        <f>VLOOKUP(A924,#REF!,4,FALSE)</f>
        <v>#REF!</v>
      </c>
      <c r="E924" s="315" t="e">
        <f t="shared" si="14"/>
        <v>#REF!</v>
      </c>
    </row>
    <row r="925" spans="1:5" x14ac:dyDescent="0.2">
      <c r="A925" s="313">
        <v>1860000780</v>
      </c>
      <c r="B925" s="313" t="s">
        <v>580</v>
      </c>
      <c r="C925" s="314">
        <v>272531</v>
      </c>
      <c r="D925" s="313" t="e">
        <f>VLOOKUP(A925,#REF!,4,FALSE)</f>
        <v>#REF!</v>
      </c>
      <c r="E925" s="315" t="e">
        <f t="shared" si="14"/>
        <v>#REF!</v>
      </c>
    </row>
    <row r="926" spans="1:5" x14ac:dyDescent="0.2">
      <c r="A926" s="313">
        <v>1860000910</v>
      </c>
      <c r="B926" s="313" t="s">
        <v>741</v>
      </c>
      <c r="C926" s="314">
        <v>213769</v>
      </c>
      <c r="D926" s="313" t="e">
        <f>VLOOKUP(A926,#REF!,4,FALSE)</f>
        <v>#REF!</v>
      </c>
      <c r="E926" s="315" t="e">
        <f t="shared" si="14"/>
        <v>#REF!</v>
      </c>
    </row>
    <row r="927" spans="1:5" x14ac:dyDescent="0.2">
      <c r="A927" s="313">
        <v>1879000810</v>
      </c>
      <c r="B927" s="313" t="s">
        <v>887</v>
      </c>
      <c r="C927" s="314">
        <v>161850</v>
      </c>
      <c r="D927" s="313" t="e">
        <f>VLOOKUP(A927,#REF!,4,FALSE)</f>
        <v>#REF!</v>
      </c>
      <c r="E927" s="315" t="e">
        <f t="shared" si="14"/>
        <v>#REF!</v>
      </c>
    </row>
    <row r="928" spans="1:5" x14ac:dyDescent="0.2">
      <c r="A928" s="313">
        <v>1913000750</v>
      </c>
      <c r="B928" s="313" t="s">
        <v>714</v>
      </c>
      <c r="D928" s="313" t="e">
        <f>VLOOKUP(A928,#REF!,4,FALSE)</f>
        <v>#REF!</v>
      </c>
      <c r="E928" s="315" t="e">
        <f t="shared" si="14"/>
        <v>#REF!</v>
      </c>
    </row>
    <row r="929" spans="1:5" x14ac:dyDescent="0.2">
      <c r="A929" s="313">
        <v>1931000511</v>
      </c>
      <c r="B929" s="313" t="s">
        <v>889</v>
      </c>
      <c r="C929" s="314">
        <v>1200</v>
      </c>
      <c r="D929" s="313" t="e">
        <f>VLOOKUP(A929,#REF!,4,FALSE)</f>
        <v>#REF!</v>
      </c>
      <c r="E929" s="315" t="e">
        <f t="shared" si="14"/>
        <v>#REF!</v>
      </c>
    </row>
    <row r="930" spans="1:5" x14ac:dyDescent="0.2">
      <c r="A930" s="313">
        <v>1931000560</v>
      </c>
      <c r="B930" s="313" t="s">
        <v>890</v>
      </c>
      <c r="C930" s="314">
        <v>1060</v>
      </c>
      <c r="D930" s="313" t="e">
        <f>VLOOKUP(A930,#REF!,4,FALSE)</f>
        <v>#REF!</v>
      </c>
      <c r="E930" s="315" t="e">
        <f t="shared" si="14"/>
        <v>#REF!</v>
      </c>
    </row>
    <row r="931" spans="1:5" x14ac:dyDescent="0.2">
      <c r="A931" s="313">
        <v>1931000581</v>
      </c>
      <c r="B931" s="313" t="s">
        <v>1920</v>
      </c>
      <c r="C931" s="314">
        <v>4940</v>
      </c>
      <c r="D931" s="313" t="e">
        <f>VLOOKUP(A931,#REF!,4,FALSE)</f>
        <v>#REF!</v>
      </c>
      <c r="E931" s="315" t="e">
        <f t="shared" si="14"/>
        <v>#REF!</v>
      </c>
    </row>
    <row r="932" spans="1:5" x14ac:dyDescent="0.2">
      <c r="A932" s="313">
        <v>1931000750</v>
      </c>
      <c r="B932" s="313" t="s">
        <v>714</v>
      </c>
      <c r="C932" s="314">
        <v>324550</v>
      </c>
      <c r="D932" s="313" t="e">
        <f>VLOOKUP(A932,#REF!,4,FALSE)</f>
        <v>#REF!</v>
      </c>
      <c r="E932" s="315" t="e">
        <f t="shared" si="14"/>
        <v>#REF!</v>
      </c>
    </row>
    <row r="933" spans="1:5" x14ac:dyDescent="0.2">
      <c r="A933" s="313">
        <v>1931000751</v>
      </c>
      <c r="B933" s="313" t="s">
        <v>1921</v>
      </c>
      <c r="C933" s="314">
        <v>6000</v>
      </c>
      <c r="D933" s="313" t="e">
        <f>VLOOKUP(A933,#REF!,4,FALSE)</f>
        <v>#REF!</v>
      </c>
      <c r="E933" s="315" t="e">
        <f t="shared" si="14"/>
        <v>#REF!</v>
      </c>
    </row>
    <row r="934" spans="1:5" x14ac:dyDescent="0.2">
      <c r="A934" s="313">
        <v>1931000930</v>
      </c>
      <c r="B934" s="313" t="s">
        <v>1922</v>
      </c>
      <c r="C934" s="314">
        <v>8074</v>
      </c>
      <c r="D934" s="313" t="e">
        <f>VLOOKUP(A934,#REF!,4,FALSE)</f>
        <v>#REF!</v>
      </c>
      <c r="E934" s="315" t="e">
        <f t="shared" si="14"/>
        <v>#REF!</v>
      </c>
    </row>
    <row r="935" spans="1:5" x14ac:dyDescent="0.2">
      <c r="A935" s="313">
        <v>1931000980</v>
      </c>
      <c r="B935" s="313" t="s">
        <v>580</v>
      </c>
      <c r="C935" s="314">
        <v>78426</v>
      </c>
      <c r="D935" s="313" t="e">
        <f>VLOOKUP(A935,#REF!,4,FALSE)</f>
        <v>#REF!</v>
      </c>
      <c r="E935" s="315" t="e">
        <f t="shared" si="14"/>
        <v>#REF!</v>
      </c>
    </row>
    <row r="936" spans="1:5" x14ac:dyDescent="0.2">
      <c r="A936" s="313">
        <v>1937000430</v>
      </c>
      <c r="B936" s="313" t="s">
        <v>1923</v>
      </c>
      <c r="C936" s="314">
        <v>102600</v>
      </c>
      <c r="D936" s="313" t="e">
        <f>VLOOKUP(A936,#REF!,4,FALSE)</f>
        <v>#REF!</v>
      </c>
      <c r="E936" s="315" t="e">
        <f t="shared" si="14"/>
        <v>#REF!</v>
      </c>
    </row>
    <row r="937" spans="1:5" x14ac:dyDescent="0.2">
      <c r="A937" s="313">
        <v>1937000750</v>
      </c>
      <c r="B937" s="313" t="s">
        <v>892</v>
      </c>
      <c r="D937" s="313" t="e">
        <f>VLOOKUP(A937,#REF!,4,FALSE)</f>
        <v>#REF!</v>
      </c>
      <c r="E937" s="315" t="e">
        <f t="shared" si="14"/>
        <v>#REF!</v>
      </c>
    </row>
    <row r="938" spans="1:5" x14ac:dyDescent="0.2">
      <c r="A938" s="313">
        <v>1937000780</v>
      </c>
      <c r="B938" s="313" t="s">
        <v>580</v>
      </c>
      <c r="C938" s="314">
        <v>601</v>
      </c>
      <c r="D938" s="313" t="e">
        <f>VLOOKUP(A938,#REF!,4,FALSE)</f>
        <v>#REF!</v>
      </c>
      <c r="E938" s="315" t="e">
        <f t="shared" si="14"/>
        <v>#REF!</v>
      </c>
    </row>
    <row r="939" spans="1:5" x14ac:dyDescent="0.2">
      <c r="A939" s="313">
        <v>1938000422</v>
      </c>
      <c r="B939" s="313" t="s">
        <v>893</v>
      </c>
      <c r="C939" s="314">
        <v>11000</v>
      </c>
      <c r="D939" s="313" t="e">
        <f>VLOOKUP(A939,#REF!,4,FALSE)</f>
        <v>#REF!</v>
      </c>
      <c r="E939" s="315" t="e">
        <f t="shared" si="14"/>
        <v>#REF!</v>
      </c>
    </row>
    <row r="940" spans="1:5" x14ac:dyDescent="0.2">
      <c r="A940" s="313">
        <v>1938000430</v>
      </c>
      <c r="B940" s="313" t="s">
        <v>839</v>
      </c>
      <c r="C940" s="314">
        <v>732451</v>
      </c>
      <c r="D940" s="313" t="e">
        <f>VLOOKUP(A940,#REF!,4,FALSE)</f>
        <v>#REF!</v>
      </c>
      <c r="E940" s="315" t="e">
        <f t="shared" si="14"/>
        <v>#REF!</v>
      </c>
    </row>
    <row r="941" spans="1:5" x14ac:dyDescent="0.2">
      <c r="A941" s="313">
        <v>1938000450</v>
      </c>
      <c r="B941" s="313" t="s">
        <v>894</v>
      </c>
      <c r="C941" s="314">
        <v>18000</v>
      </c>
      <c r="D941" s="313" t="e">
        <f>VLOOKUP(A941,#REF!,4,FALSE)</f>
        <v>#REF!</v>
      </c>
      <c r="E941" s="315" t="e">
        <f t="shared" si="14"/>
        <v>#REF!</v>
      </c>
    </row>
    <row r="942" spans="1:5" x14ac:dyDescent="0.2">
      <c r="A942" s="313">
        <v>1938000511</v>
      </c>
      <c r="B942" s="313" t="s">
        <v>895</v>
      </c>
      <c r="C942" s="314">
        <v>100000</v>
      </c>
      <c r="D942" s="313" t="e">
        <f>VLOOKUP(A942,#REF!,4,FALSE)</f>
        <v>#REF!</v>
      </c>
      <c r="E942" s="315" t="e">
        <f t="shared" si="14"/>
        <v>#REF!</v>
      </c>
    </row>
    <row r="943" spans="1:5" x14ac:dyDescent="0.2">
      <c r="A943" s="313">
        <v>1938000530</v>
      </c>
      <c r="B943" s="313" t="s">
        <v>130</v>
      </c>
      <c r="D943" s="313" t="e">
        <f>VLOOKUP(A943,#REF!,4,FALSE)</f>
        <v>#REF!</v>
      </c>
      <c r="E943" s="315" t="e">
        <f t="shared" si="14"/>
        <v>#REF!</v>
      </c>
    </row>
    <row r="944" spans="1:5" x14ac:dyDescent="0.2">
      <c r="A944" s="313">
        <v>1938000540</v>
      </c>
      <c r="B944" s="313" t="s">
        <v>875</v>
      </c>
      <c r="C944" s="314">
        <v>515140</v>
      </c>
      <c r="D944" s="313" t="e">
        <f>VLOOKUP(A944,#REF!,4,FALSE)</f>
        <v>#REF!</v>
      </c>
      <c r="E944" s="315" t="e">
        <f t="shared" si="14"/>
        <v>#REF!</v>
      </c>
    </row>
    <row r="945" spans="1:5" x14ac:dyDescent="0.2">
      <c r="A945" s="313">
        <v>1938000560</v>
      </c>
      <c r="B945" s="313" t="s">
        <v>664</v>
      </c>
      <c r="C945" s="314">
        <v>1000</v>
      </c>
      <c r="D945" s="313" t="e">
        <f>VLOOKUP(A945,#REF!,4,FALSE)</f>
        <v>#REF!</v>
      </c>
      <c r="E945" s="315" t="e">
        <f t="shared" si="14"/>
        <v>#REF!</v>
      </c>
    </row>
    <row r="946" spans="1:5" x14ac:dyDescent="0.2">
      <c r="A946" s="313">
        <v>1938000570</v>
      </c>
      <c r="B946" s="313" t="s">
        <v>896</v>
      </c>
      <c r="C946" s="314">
        <v>87912</v>
      </c>
      <c r="D946" s="313" t="e">
        <f>VLOOKUP(A946,#REF!,4,FALSE)</f>
        <v>#REF!</v>
      </c>
      <c r="E946" s="315" t="e">
        <f t="shared" si="14"/>
        <v>#REF!</v>
      </c>
    </row>
    <row r="947" spans="1:5" x14ac:dyDescent="0.2">
      <c r="A947" s="313">
        <v>1938000571</v>
      </c>
      <c r="B947" s="313" t="s">
        <v>897</v>
      </c>
      <c r="C947" s="314">
        <v>318504</v>
      </c>
      <c r="D947" s="313" t="e">
        <f>VLOOKUP(A947,#REF!,4,FALSE)</f>
        <v>#REF!</v>
      </c>
      <c r="E947" s="315" t="e">
        <f t="shared" si="14"/>
        <v>#REF!</v>
      </c>
    </row>
    <row r="948" spans="1:5" x14ac:dyDescent="0.2">
      <c r="A948" s="313">
        <v>1938000581</v>
      </c>
      <c r="B948" s="313" t="s">
        <v>1924</v>
      </c>
      <c r="C948" s="314">
        <v>540</v>
      </c>
      <c r="D948" s="313" t="e">
        <f>VLOOKUP(A948,#REF!,4,FALSE)</f>
        <v>#REF!</v>
      </c>
      <c r="E948" s="315" t="e">
        <f t="shared" si="14"/>
        <v>#REF!</v>
      </c>
    </row>
    <row r="949" spans="1:5" x14ac:dyDescent="0.2">
      <c r="A949" s="313">
        <v>1938000740</v>
      </c>
      <c r="B949" s="313" t="s">
        <v>737</v>
      </c>
      <c r="C949" s="314">
        <v>1000</v>
      </c>
      <c r="D949" s="313" t="e">
        <f>VLOOKUP(A949,#REF!,4,FALSE)</f>
        <v>#REF!</v>
      </c>
      <c r="E949" s="315" t="e">
        <f t="shared" si="14"/>
        <v>#REF!</v>
      </c>
    </row>
    <row r="950" spans="1:5" x14ac:dyDescent="0.2">
      <c r="A950" s="313">
        <v>1938000750</v>
      </c>
      <c r="B950" s="313" t="s">
        <v>899</v>
      </c>
      <c r="C950" s="314">
        <v>389200</v>
      </c>
      <c r="D950" s="313" t="e">
        <f>VLOOKUP(A950,#REF!,4,FALSE)</f>
        <v>#REF!</v>
      </c>
      <c r="E950" s="315" t="e">
        <f t="shared" si="14"/>
        <v>#REF!</v>
      </c>
    </row>
    <row r="951" spans="1:5" x14ac:dyDescent="0.2">
      <c r="A951" s="313">
        <v>1938000751</v>
      </c>
      <c r="B951" s="313" t="s">
        <v>714</v>
      </c>
      <c r="C951" s="314">
        <v>17500</v>
      </c>
      <c r="D951" s="313" t="e">
        <f>VLOOKUP(A951,#REF!,4,FALSE)</f>
        <v>#REF!</v>
      </c>
      <c r="E951" s="315" t="e">
        <f t="shared" si="14"/>
        <v>#REF!</v>
      </c>
    </row>
    <row r="952" spans="1:5" x14ac:dyDescent="0.2">
      <c r="A952" s="313">
        <v>1938000752</v>
      </c>
      <c r="B952" s="313" t="s">
        <v>1629</v>
      </c>
      <c r="C952" s="314">
        <v>232416</v>
      </c>
      <c r="D952" s="313" t="e">
        <f>VLOOKUP(A952,#REF!,4,FALSE)</f>
        <v>#REF!</v>
      </c>
      <c r="E952" s="315" t="e">
        <f t="shared" si="14"/>
        <v>#REF!</v>
      </c>
    </row>
    <row r="953" spans="1:5" x14ac:dyDescent="0.2">
      <c r="A953" s="313">
        <v>1938000760</v>
      </c>
      <c r="B953" s="313" t="s">
        <v>900</v>
      </c>
      <c r="C953" s="314">
        <v>18900</v>
      </c>
      <c r="D953" s="313" t="e">
        <f>VLOOKUP(A953,#REF!,4,FALSE)</f>
        <v>#REF!</v>
      </c>
      <c r="E953" s="315" t="e">
        <f t="shared" si="14"/>
        <v>#REF!</v>
      </c>
    </row>
    <row r="954" spans="1:5" x14ac:dyDescent="0.2">
      <c r="A954" s="313">
        <v>1938000780</v>
      </c>
      <c r="B954" s="313" t="s">
        <v>580</v>
      </c>
      <c r="C954" s="314">
        <v>17000</v>
      </c>
      <c r="D954" s="313" t="e">
        <f>VLOOKUP(A954,#REF!,4,FALSE)</f>
        <v>#REF!</v>
      </c>
      <c r="E954" s="315" t="e">
        <f t="shared" si="14"/>
        <v>#REF!</v>
      </c>
    </row>
    <row r="955" spans="1:5" x14ac:dyDescent="0.2">
      <c r="A955" s="313">
        <v>1938000910</v>
      </c>
      <c r="B955" s="313" t="s">
        <v>901</v>
      </c>
      <c r="C955" s="314">
        <v>0</v>
      </c>
      <c r="D955" s="313" t="e">
        <f>VLOOKUP(A955,#REF!,4,FALSE)</f>
        <v>#REF!</v>
      </c>
      <c r="E955" s="315" t="e">
        <f t="shared" si="14"/>
        <v>#REF!</v>
      </c>
    </row>
    <row r="956" spans="1:5" x14ac:dyDescent="0.2">
      <c r="A956" s="313">
        <v>1938000980</v>
      </c>
      <c r="B956" s="313" t="s">
        <v>580</v>
      </c>
      <c r="C956" s="314">
        <v>95000</v>
      </c>
      <c r="D956" s="313" t="e">
        <f>VLOOKUP(A956,#REF!,4,FALSE)</f>
        <v>#REF!</v>
      </c>
      <c r="E956" s="315" t="e">
        <f t="shared" si="14"/>
        <v>#REF!</v>
      </c>
    </row>
    <row r="957" spans="1:5" x14ac:dyDescent="0.2">
      <c r="A957" s="313">
        <v>1938001731</v>
      </c>
      <c r="B957" s="313" t="s">
        <v>1925</v>
      </c>
      <c r="C957" s="314">
        <v>15829</v>
      </c>
      <c r="D957" s="313" t="e">
        <f>VLOOKUP(A957,#REF!,4,FALSE)</f>
        <v>#REF!</v>
      </c>
      <c r="E957" s="315" t="e">
        <f t="shared" si="14"/>
        <v>#REF!</v>
      </c>
    </row>
    <row r="958" spans="1:5" x14ac:dyDescent="0.2">
      <c r="A958" s="313">
        <v>1938100560</v>
      </c>
      <c r="B958" s="313" t="s">
        <v>820</v>
      </c>
      <c r="D958" s="313" t="e">
        <f>VLOOKUP(A958,#REF!,4,FALSE)</f>
        <v>#REF!</v>
      </c>
      <c r="E958" s="315" t="e">
        <f t="shared" si="14"/>
        <v>#REF!</v>
      </c>
    </row>
    <row r="959" spans="1:5" x14ac:dyDescent="0.2">
      <c r="A959" s="313">
        <v>1938100780</v>
      </c>
      <c r="B959" s="313" t="s">
        <v>580</v>
      </c>
      <c r="C959" s="314">
        <v>1800</v>
      </c>
      <c r="D959" s="313" t="e">
        <f>VLOOKUP(A959,#REF!,4,FALSE)</f>
        <v>#REF!</v>
      </c>
      <c r="E959" s="315" t="e">
        <f t="shared" si="14"/>
        <v>#REF!</v>
      </c>
    </row>
    <row r="960" spans="1:5" x14ac:dyDescent="0.2">
      <c r="A960" s="313">
        <v>1939000410</v>
      </c>
      <c r="B960" s="313" t="s">
        <v>902</v>
      </c>
      <c r="C960" s="314">
        <v>371000</v>
      </c>
      <c r="D960" s="313" t="e">
        <f>VLOOKUP(A960,#REF!,4,FALSE)</f>
        <v>#REF!</v>
      </c>
      <c r="E960" s="315" t="e">
        <f t="shared" si="14"/>
        <v>#REF!</v>
      </c>
    </row>
    <row r="961" spans="1:5" x14ac:dyDescent="0.2">
      <c r="A961" s="313">
        <v>1939000511</v>
      </c>
      <c r="B961" s="313" t="s">
        <v>220</v>
      </c>
      <c r="C961" s="314">
        <v>1000</v>
      </c>
      <c r="D961" s="313" t="e">
        <f>VLOOKUP(A961,#REF!,4,FALSE)</f>
        <v>#REF!</v>
      </c>
      <c r="E961" s="315" t="e">
        <f t="shared" si="14"/>
        <v>#REF!</v>
      </c>
    </row>
    <row r="962" spans="1:5" x14ac:dyDescent="0.2">
      <c r="A962" s="313">
        <v>1939000560</v>
      </c>
      <c r="B962" s="313" t="s">
        <v>820</v>
      </c>
      <c r="C962" s="314">
        <v>405</v>
      </c>
      <c r="D962" s="313" t="e">
        <f>VLOOKUP(A962,#REF!,4,FALSE)</f>
        <v>#REF!</v>
      </c>
      <c r="E962" s="315" t="e">
        <f t="shared" si="14"/>
        <v>#REF!</v>
      </c>
    </row>
    <row r="963" spans="1:5" x14ac:dyDescent="0.2">
      <c r="A963" s="313">
        <v>1939000570</v>
      </c>
      <c r="B963" s="313" t="s">
        <v>1666</v>
      </c>
      <c r="C963" s="314">
        <v>2808</v>
      </c>
      <c r="D963" s="313" t="e">
        <f>VLOOKUP(A963,#REF!,4,FALSE)</f>
        <v>#REF!</v>
      </c>
      <c r="E963" s="315" t="e">
        <f t="shared" si="14"/>
        <v>#REF!</v>
      </c>
    </row>
    <row r="964" spans="1:5" x14ac:dyDescent="0.2">
      <c r="A964" s="313">
        <v>1939000581</v>
      </c>
      <c r="B964" s="313" t="s">
        <v>1926</v>
      </c>
      <c r="C964" s="314">
        <v>780</v>
      </c>
      <c r="D964" s="313" t="e">
        <f>VLOOKUP(A964,#REF!,4,FALSE)</f>
        <v>#REF!</v>
      </c>
      <c r="E964" s="315" t="e">
        <f t="shared" si="14"/>
        <v>#REF!</v>
      </c>
    </row>
    <row r="965" spans="1:5" x14ac:dyDescent="0.2">
      <c r="A965" s="313">
        <v>1939000730</v>
      </c>
      <c r="B965" s="313" t="s">
        <v>903</v>
      </c>
      <c r="C965" s="314">
        <v>50000</v>
      </c>
      <c r="D965" s="313" t="e">
        <f>VLOOKUP(A965,#REF!,4,FALSE)</f>
        <v>#REF!</v>
      </c>
      <c r="E965" s="315" t="e">
        <f t="shared" si="14"/>
        <v>#REF!</v>
      </c>
    </row>
    <row r="966" spans="1:5" x14ac:dyDescent="0.2">
      <c r="A966" s="313">
        <v>1939000731</v>
      </c>
      <c r="B966" s="313" t="s">
        <v>221</v>
      </c>
      <c r="C966" s="314">
        <v>41777</v>
      </c>
      <c r="D966" s="313" t="e">
        <f>VLOOKUP(A966,#REF!,4,FALSE)</f>
        <v>#REF!</v>
      </c>
      <c r="E966" s="315" t="e">
        <f t="shared" ref="E966:E1029" si="15">C966-D966</f>
        <v>#REF!</v>
      </c>
    </row>
    <row r="967" spans="1:5" x14ac:dyDescent="0.2">
      <c r="A967" s="313">
        <v>1939000750</v>
      </c>
      <c r="B967" s="313" t="s">
        <v>1551</v>
      </c>
      <c r="C967" s="314">
        <v>301860</v>
      </c>
      <c r="D967" s="313" t="e">
        <f>VLOOKUP(A967,#REF!,4,FALSE)</f>
        <v>#REF!</v>
      </c>
      <c r="E967" s="315" t="e">
        <f t="shared" si="15"/>
        <v>#REF!</v>
      </c>
    </row>
    <row r="968" spans="1:5" x14ac:dyDescent="0.2">
      <c r="A968" s="313">
        <v>1939000751</v>
      </c>
      <c r="B968" s="313" t="s">
        <v>714</v>
      </c>
      <c r="D968" s="313" t="e">
        <f>VLOOKUP(A968,#REF!,4,FALSE)</f>
        <v>#REF!</v>
      </c>
      <c r="E968" s="315" t="e">
        <f t="shared" si="15"/>
        <v>#REF!</v>
      </c>
    </row>
    <row r="969" spans="1:5" x14ac:dyDescent="0.2">
      <c r="A969" s="313">
        <v>1939000780</v>
      </c>
      <c r="B969" s="313" t="s">
        <v>580</v>
      </c>
      <c r="C969" s="314">
        <v>2350</v>
      </c>
      <c r="D969" s="313" t="e">
        <f>VLOOKUP(A969,#REF!,4,FALSE)</f>
        <v>#REF!</v>
      </c>
      <c r="E969" s="315" t="e">
        <f t="shared" si="15"/>
        <v>#REF!</v>
      </c>
    </row>
    <row r="970" spans="1:5" x14ac:dyDescent="0.2">
      <c r="A970" s="313">
        <v>1939000910</v>
      </c>
      <c r="B970" s="313" t="s">
        <v>1630</v>
      </c>
      <c r="C970" s="314">
        <v>74500</v>
      </c>
      <c r="D970" s="313" t="e">
        <f>VLOOKUP(A970,#REF!,4,FALSE)</f>
        <v>#REF!</v>
      </c>
      <c r="E970" s="315" t="e">
        <f t="shared" si="15"/>
        <v>#REF!</v>
      </c>
    </row>
    <row r="971" spans="1:5" x14ac:dyDescent="0.2">
      <c r="A971" s="313">
        <v>1939000980</v>
      </c>
      <c r="B971" s="313" t="s">
        <v>580</v>
      </c>
      <c r="C971" s="314">
        <v>26500</v>
      </c>
      <c r="D971" s="313" t="e">
        <f>VLOOKUP(A971,#REF!,4,FALSE)</f>
        <v>#REF!</v>
      </c>
      <c r="E971" s="315" t="e">
        <f t="shared" si="15"/>
        <v>#REF!</v>
      </c>
    </row>
    <row r="972" spans="1:5" x14ac:dyDescent="0.2">
      <c r="A972" s="313">
        <v>1939001731</v>
      </c>
      <c r="B972" s="313" t="s">
        <v>221</v>
      </c>
      <c r="D972" s="313" t="e">
        <f>VLOOKUP(A972,#REF!,4,FALSE)</f>
        <v>#REF!</v>
      </c>
      <c r="E972" s="315" t="e">
        <f t="shared" si="15"/>
        <v>#REF!</v>
      </c>
    </row>
    <row r="973" spans="1:5" x14ac:dyDescent="0.2">
      <c r="A973" s="313">
        <v>1939002530</v>
      </c>
      <c r="B973" s="313" t="s">
        <v>1631</v>
      </c>
      <c r="D973" s="313" t="e">
        <f>VLOOKUP(A973,#REF!,4,FALSE)</f>
        <v>#REF!</v>
      </c>
      <c r="E973" s="315" t="e">
        <f t="shared" si="15"/>
        <v>#REF!</v>
      </c>
    </row>
    <row r="974" spans="1:5" x14ac:dyDescent="0.2">
      <c r="A974" s="313">
        <v>1939003530</v>
      </c>
      <c r="B974" s="313" t="s">
        <v>1632</v>
      </c>
      <c r="D974" s="313" t="e">
        <f>VLOOKUP(A974,#REF!,4,FALSE)</f>
        <v>#REF!</v>
      </c>
      <c r="E974" s="315" t="e">
        <f t="shared" si="15"/>
        <v>#REF!</v>
      </c>
    </row>
    <row r="975" spans="1:5" x14ac:dyDescent="0.2">
      <c r="A975" s="313">
        <v>1939003731</v>
      </c>
      <c r="B975" s="313" t="s">
        <v>905</v>
      </c>
      <c r="C975" s="314">
        <v>7406</v>
      </c>
      <c r="D975" s="313" t="e">
        <f>VLOOKUP(A975,#REF!,4,FALSE)</f>
        <v>#REF!</v>
      </c>
      <c r="E975" s="315" t="e">
        <f t="shared" si="15"/>
        <v>#REF!</v>
      </c>
    </row>
    <row r="976" spans="1:5" x14ac:dyDescent="0.2">
      <c r="A976" s="313">
        <v>1939004731</v>
      </c>
      <c r="B976" s="313" t="s">
        <v>906</v>
      </c>
      <c r="C976" s="314">
        <v>46477</v>
      </c>
      <c r="D976" s="313" t="e">
        <f>VLOOKUP(A976,#REF!,4,FALSE)</f>
        <v>#REF!</v>
      </c>
      <c r="E976" s="315" t="e">
        <f t="shared" si="15"/>
        <v>#REF!</v>
      </c>
    </row>
    <row r="977" spans="1:5" x14ac:dyDescent="0.2">
      <c r="A977" s="313">
        <v>1939006731</v>
      </c>
      <c r="B977" s="313" t="s">
        <v>907</v>
      </c>
      <c r="C977" s="314">
        <v>1647</v>
      </c>
      <c r="D977" s="313" t="e">
        <f>VLOOKUP(A977,#REF!,4,FALSE)</f>
        <v>#REF!</v>
      </c>
      <c r="E977" s="315" t="e">
        <f t="shared" si="15"/>
        <v>#REF!</v>
      </c>
    </row>
    <row r="978" spans="1:5" x14ac:dyDescent="0.2">
      <c r="A978" s="313">
        <v>1939009731</v>
      </c>
      <c r="B978" s="313" t="s">
        <v>131</v>
      </c>
      <c r="D978" s="313" t="e">
        <f>VLOOKUP(A978,#REF!,4,FALSE)</f>
        <v>#REF!</v>
      </c>
      <c r="E978" s="315" t="e">
        <f t="shared" si="15"/>
        <v>#REF!</v>
      </c>
    </row>
    <row r="979" spans="1:5" x14ac:dyDescent="0.2">
      <c r="A979" s="313">
        <v>1939011731</v>
      </c>
      <c r="B979" s="313" t="s">
        <v>908</v>
      </c>
      <c r="C979" s="314">
        <v>1647</v>
      </c>
      <c r="D979" s="313" t="e">
        <f>VLOOKUP(A979,#REF!,4,FALSE)</f>
        <v>#REF!</v>
      </c>
      <c r="E979" s="315" t="e">
        <f t="shared" si="15"/>
        <v>#REF!</v>
      </c>
    </row>
    <row r="980" spans="1:5" x14ac:dyDescent="0.2">
      <c r="A980" s="313">
        <v>1939012731</v>
      </c>
      <c r="B980" s="313" t="s">
        <v>909</v>
      </c>
      <c r="C980" s="314">
        <v>1647</v>
      </c>
      <c r="D980" s="313" t="e">
        <f>VLOOKUP(A980,#REF!,4,FALSE)</f>
        <v>#REF!</v>
      </c>
      <c r="E980" s="315" t="e">
        <f t="shared" si="15"/>
        <v>#REF!</v>
      </c>
    </row>
    <row r="981" spans="1:5" x14ac:dyDescent="0.2">
      <c r="A981" s="313">
        <v>1939013731</v>
      </c>
      <c r="B981" s="313" t="s">
        <v>910</v>
      </c>
      <c r="C981" s="314">
        <v>27609</v>
      </c>
      <c r="D981" s="313" t="e">
        <f>VLOOKUP(A981,#REF!,4,FALSE)</f>
        <v>#REF!</v>
      </c>
      <c r="E981" s="315" t="e">
        <f t="shared" si="15"/>
        <v>#REF!</v>
      </c>
    </row>
    <row r="982" spans="1:5" x14ac:dyDescent="0.2">
      <c r="A982" s="313">
        <v>1939014530</v>
      </c>
      <c r="B982" s="313" t="s">
        <v>1471</v>
      </c>
      <c r="C982" s="314">
        <v>53030</v>
      </c>
      <c r="D982" s="313" t="e">
        <f>VLOOKUP(A982,#REF!,4,FALSE)</f>
        <v>#REF!</v>
      </c>
      <c r="E982" s="315" t="e">
        <f t="shared" si="15"/>
        <v>#REF!</v>
      </c>
    </row>
    <row r="983" spans="1:5" x14ac:dyDescent="0.2">
      <c r="A983" s="313">
        <v>1939015731</v>
      </c>
      <c r="B983" s="313" t="s">
        <v>1470</v>
      </c>
      <c r="D983" s="313" t="e">
        <f>VLOOKUP(A983,#REF!,4,FALSE)</f>
        <v>#REF!</v>
      </c>
      <c r="E983" s="315" t="e">
        <f t="shared" si="15"/>
        <v>#REF!</v>
      </c>
    </row>
    <row r="984" spans="1:5" x14ac:dyDescent="0.2">
      <c r="A984" s="313">
        <v>1939016731</v>
      </c>
      <c r="B984" s="313" t="s">
        <v>1928</v>
      </c>
      <c r="C984" s="314">
        <v>47824</v>
      </c>
      <c r="D984" s="313" t="e">
        <f>VLOOKUP(A984,#REF!,4,FALSE)</f>
        <v>#REF!</v>
      </c>
      <c r="E984" s="315" t="e">
        <f t="shared" si="15"/>
        <v>#REF!</v>
      </c>
    </row>
    <row r="985" spans="1:5" x14ac:dyDescent="0.2">
      <c r="A985" s="313">
        <v>1939019731</v>
      </c>
      <c r="B985" s="313" t="s">
        <v>810</v>
      </c>
      <c r="C985" s="314">
        <v>44970</v>
      </c>
      <c r="D985" s="313" t="e">
        <f>VLOOKUP(A985,#REF!,4,FALSE)</f>
        <v>#REF!</v>
      </c>
      <c r="E985" s="315" t="e">
        <f t="shared" si="15"/>
        <v>#REF!</v>
      </c>
    </row>
    <row r="986" spans="1:5" x14ac:dyDescent="0.2">
      <c r="A986" s="313">
        <v>1939033731</v>
      </c>
      <c r="B986" s="313" t="s">
        <v>1469</v>
      </c>
      <c r="C986" s="314">
        <v>1647</v>
      </c>
      <c r="D986" s="313" t="e">
        <f>VLOOKUP(A986,#REF!,4,FALSE)</f>
        <v>#REF!</v>
      </c>
      <c r="E986" s="315" t="e">
        <f t="shared" si="15"/>
        <v>#REF!</v>
      </c>
    </row>
    <row r="987" spans="1:5" x14ac:dyDescent="0.2">
      <c r="A987" s="313">
        <v>1939043731</v>
      </c>
      <c r="B987" s="313" t="s">
        <v>1468</v>
      </c>
      <c r="D987" s="313" t="e">
        <f>VLOOKUP(A987,#REF!,4,FALSE)</f>
        <v>#REF!</v>
      </c>
      <c r="E987" s="315" t="e">
        <f t="shared" si="15"/>
        <v>#REF!</v>
      </c>
    </row>
    <row r="988" spans="1:5" x14ac:dyDescent="0.2">
      <c r="A988" s="313">
        <v>1939100730</v>
      </c>
      <c r="B988" s="313" t="s">
        <v>1466</v>
      </c>
      <c r="C988" s="314">
        <v>18000</v>
      </c>
      <c r="D988" s="313" t="e">
        <f>VLOOKUP(A988,#REF!,4,FALSE)</f>
        <v>#REF!</v>
      </c>
      <c r="E988" s="315" t="e">
        <f t="shared" si="15"/>
        <v>#REF!</v>
      </c>
    </row>
    <row r="989" spans="1:5" x14ac:dyDescent="0.2">
      <c r="A989" s="313">
        <v>1939111731</v>
      </c>
      <c r="B989" s="313" t="s">
        <v>225</v>
      </c>
      <c r="D989" s="313" t="e">
        <f>VLOOKUP(A989,#REF!,4,FALSE)</f>
        <v>#REF!</v>
      </c>
      <c r="E989" s="315" t="e">
        <f t="shared" si="15"/>
        <v>#REF!</v>
      </c>
    </row>
    <row r="990" spans="1:5" x14ac:dyDescent="0.2">
      <c r="A990" s="313">
        <v>1939200731</v>
      </c>
      <c r="B990" s="313" t="s">
        <v>1331</v>
      </c>
      <c r="C990" s="314">
        <v>3947</v>
      </c>
      <c r="D990" s="313" t="e">
        <f>VLOOKUP(A990,#REF!,4,FALSE)</f>
        <v>#REF!</v>
      </c>
      <c r="E990" s="315" t="e">
        <f t="shared" si="15"/>
        <v>#REF!</v>
      </c>
    </row>
    <row r="991" spans="1:5" x14ac:dyDescent="0.2">
      <c r="A991" s="313">
        <v>1939300731</v>
      </c>
      <c r="B991" s="313" t="s">
        <v>1648</v>
      </c>
      <c r="C991" s="314">
        <v>106421</v>
      </c>
      <c r="D991" s="313" t="e">
        <f>VLOOKUP(A991,#REF!,4,FALSE)</f>
        <v>#REF!</v>
      </c>
      <c r="E991" s="315" t="e">
        <f t="shared" si="15"/>
        <v>#REF!</v>
      </c>
    </row>
    <row r="992" spans="1:5" x14ac:dyDescent="0.2">
      <c r="A992" s="313">
        <v>1972000750</v>
      </c>
      <c r="B992" s="313" t="s">
        <v>912</v>
      </c>
      <c r="C992" s="314">
        <v>110000</v>
      </c>
      <c r="D992" s="313" t="e">
        <f>VLOOKUP(A992,#REF!,4,FALSE)</f>
        <v>#REF!</v>
      </c>
      <c r="E992" s="315" t="e">
        <f t="shared" si="15"/>
        <v>#REF!</v>
      </c>
    </row>
    <row r="993" spans="1:5" x14ac:dyDescent="0.2">
      <c r="A993" s="313">
        <v>1972000770</v>
      </c>
      <c r="B993" s="313" t="s">
        <v>740</v>
      </c>
      <c r="C993" s="314">
        <v>13000</v>
      </c>
      <c r="D993" s="313" t="e">
        <f>VLOOKUP(A993,#REF!,4,FALSE)</f>
        <v>#REF!</v>
      </c>
      <c r="E993" s="315" t="e">
        <f t="shared" si="15"/>
        <v>#REF!</v>
      </c>
    </row>
    <row r="994" spans="1:5" x14ac:dyDescent="0.2">
      <c r="A994" s="313">
        <v>1972000780</v>
      </c>
      <c r="B994" s="313" t="s">
        <v>913</v>
      </c>
      <c r="D994" s="313" t="e">
        <f>VLOOKUP(A994,#REF!,4,FALSE)</f>
        <v>#REF!</v>
      </c>
      <c r="E994" s="315" t="e">
        <f t="shared" si="15"/>
        <v>#REF!</v>
      </c>
    </row>
    <row r="995" spans="1:5" x14ac:dyDescent="0.2">
      <c r="A995" s="313" t="s">
        <v>277</v>
      </c>
      <c r="B995" s="313" t="s">
        <v>543</v>
      </c>
      <c r="C995" s="314">
        <v>94154866</v>
      </c>
      <c r="D995" s="313" t="e">
        <f>VLOOKUP(A995,#REF!,4,FALSE)</f>
        <v>#REF!</v>
      </c>
      <c r="E995" s="315" t="e">
        <f t="shared" si="15"/>
        <v>#REF!</v>
      </c>
    </row>
    <row r="996" spans="1:5" x14ac:dyDescent="0.2">
      <c r="A996" s="313" t="s">
        <v>277</v>
      </c>
      <c r="B996" s="313" t="s">
        <v>508</v>
      </c>
      <c r="C996" s="314">
        <v>176874797</v>
      </c>
      <c r="D996" s="313" t="e">
        <f>VLOOKUP(A996,#REF!,4,FALSE)</f>
        <v>#REF!</v>
      </c>
      <c r="E996" s="315" t="e">
        <f t="shared" si="15"/>
        <v>#REF!</v>
      </c>
    </row>
    <row r="997" spans="1:5" x14ac:dyDescent="0.2">
      <c r="A997" s="313" t="s">
        <v>281</v>
      </c>
      <c r="B997" s="313" t="s">
        <v>916</v>
      </c>
      <c r="D997" s="313" t="e">
        <f>VLOOKUP(A997,#REF!,4,FALSE)</f>
        <v>#REF!</v>
      </c>
      <c r="E997" s="315" t="e">
        <f t="shared" si="15"/>
        <v>#REF!</v>
      </c>
    </row>
    <row r="998" spans="1:5" x14ac:dyDescent="0.2">
      <c r="A998" s="313" t="s">
        <v>917</v>
      </c>
      <c r="B998" s="313" t="s">
        <v>918</v>
      </c>
      <c r="D998" s="313" t="e">
        <f>VLOOKUP(A998,#REF!,4,FALSE)</f>
        <v>#REF!</v>
      </c>
      <c r="E998" s="315" t="e">
        <f t="shared" si="15"/>
        <v>#REF!</v>
      </c>
    </row>
    <row r="999" spans="1:5" x14ac:dyDescent="0.2">
      <c r="A999" s="313">
        <v>1812200110</v>
      </c>
      <c r="B999" s="313" t="s">
        <v>126</v>
      </c>
      <c r="C999" s="314">
        <v>257081</v>
      </c>
      <c r="D999" s="313" t="e">
        <f>VLOOKUP(A999,#REF!,4,FALSE)</f>
        <v>#REF!</v>
      </c>
      <c r="E999" s="315" t="e">
        <f t="shared" si="15"/>
        <v>#REF!</v>
      </c>
    </row>
    <row r="1000" spans="1:5" x14ac:dyDescent="0.2">
      <c r="A1000" s="313">
        <v>1812200210</v>
      </c>
      <c r="B1000" s="313" t="s">
        <v>920</v>
      </c>
      <c r="D1000" s="313" t="e">
        <f>VLOOKUP(A1000,#REF!,4,FALSE)</f>
        <v>#REF!</v>
      </c>
      <c r="E1000" s="315" t="e">
        <f t="shared" si="15"/>
        <v>#REF!</v>
      </c>
    </row>
    <row r="1001" spans="1:5" x14ac:dyDescent="0.2">
      <c r="A1001" s="313">
        <v>1812210110</v>
      </c>
      <c r="B1001" s="313" t="s">
        <v>921</v>
      </c>
      <c r="C1001" s="314">
        <v>6826562</v>
      </c>
      <c r="D1001" s="313" t="e">
        <f>VLOOKUP(A1001,#REF!,4,FALSE)</f>
        <v>#REF!</v>
      </c>
      <c r="E1001" s="315" t="e">
        <f t="shared" si="15"/>
        <v>#REF!</v>
      </c>
    </row>
    <row r="1002" spans="1:5" x14ac:dyDescent="0.2">
      <c r="A1002" s="313">
        <v>1812210210</v>
      </c>
      <c r="B1002" s="313" t="s">
        <v>922</v>
      </c>
      <c r="C1002" s="314">
        <v>7057668</v>
      </c>
      <c r="D1002" s="313" t="e">
        <f>VLOOKUP(A1002,#REF!,4,FALSE)</f>
        <v>#REF!</v>
      </c>
      <c r="E1002" s="315" t="e">
        <f t="shared" si="15"/>
        <v>#REF!</v>
      </c>
    </row>
    <row r="1003" spans="1:5" x14ac:dyDescent="0.2">
      <c r="A1003" s="313">
        <v>1812800210</v>
      </c>
      <c r="B1003" s="313" t="s">
        <v>1157</v>
      </c>
      <c r="D1003" s="313" t="e">
        <f>VLOOKUP(A1003,#REF!,4,FALSE)</f>
        <v>#REF!</v>
      </c>
      <c r="E1003" s="315" t="e">
        <f t="shared" si="15"/>
        <v>#REF!</v>
      </c>
    </row>
    <row r="1004" spans="1:5" x14ac:dyDescent="0.2">
      <c r="A1004" s="313">
        <v>1813204110</v>
      </c>
      <c r="B1004" s="313" t="s">
        <v>923</v>
      </c>
      <c r="C1004" s="314">
        <v>1446793</v>
      </c>
      <c r="D1004" s="313" t="e">
        <f>VLOOKUP(A1004,#REF!,4,FALSE)</f>
        <v>#REF!</v>
      </c>
      <c r="E1004" s="315" t="e">
        <f t="shared" si="15"/>
        <v>#REF!</v>
      </c>
    </row>
    <row r="1005" spans="1:5" x14ac:dyDescent="0.2">
      <c r="A1005" s="313">
        <v>1813204210</v>
      </c>
      <c r="B1005" s="313" t="s">
        <v>919</v>
      </c>
      <c r="D1005" s="313" t="e">
        <f>VLOOKUP(A1005,#REF!,4,FALSE)</f>
        <v>#REF!</v>
      </c>
      <c r="E1005" s="315" t="e">
        <f t="shared" si="15"/>
        <v>#REF!</v>
      </c>
    </row>
    <row r="1006" spans="1:5" x14ac:dyDescent="0.2">
      <c r="A1006" s="313">
        <v>1813205110</v>
      </c>
      <c r="B1006" s="313" t="s">
        <v>924</v>
      </c>
      <c r="C1006" s="314">
        <v>1668952</v>
      </c>
      <c r="D1006" s="313" t="e">
        <f>VLOOKUP(A1006,#REF!,4,FALSE)</f>
        <v>#REF!</v>
      </c>
      <c r="E1006" s="315" t="e">
        <f t="shared" si="15"/>
        <v>#REF!</v>
      </c>
    </row>
    <row r="1007" spans="1:5" x14ac:dyDescent="0.2">
      <c r="A1007" s="313">
        <v>1813205210</v>
      </c>
      <c r="B1007" s="313" t="s">
        <v>925</v>
      </c>
      <c r="D1007" s="313" t="e">
        <f>VLOOKUP(A1007,#REF!,4,FALSE)</f>
        <v>#REF!</v>
      </c>
      <c r="E1007" s="315" t="e">
        <f t="shared" si="15"/>
        <v>#REF!</v>
      </c>
    </row>
    <row r="1008" spans="1:5" x14ac:dyDescent="0.2">
      <c r="A1008" s="313">
        <v>1813211110</v>
      </c>
      <c r="B1008" s="313" t="s">
        <v>926</v>
      </c>
      <c r="C1008" s="314">
        <v>144510</v>
      </c>
      <c r="D1008" s="313" t="e">
        <f>VLOOKUP(A1008,#REF!,4,FALSE)</f>
        <v>#REF!</v>
      </c>
      <c r="E1008" s="315" t="e">
        <f t="shared" si="15"/>
        <v>#REF!</v>
      </c>
    </row>
    <row r="1009" spans="1:5" x14ac:dyDescent="0.2">
      <c r="A1009" s="313">
        <v>1813213110</v>
      </c>
      <c r="B1009" s="313" t="s">
        <v>927</v>
      </c>
      <c r="C1009" s="314">
        <v>2449056</v>
      </c>
      <c r="D1009" s="313" t="e">
        <f>VLOOKUP(A1009,#REF!,4,FALSE)</f>
        <v>#REF!</v>
      </c>
      <c r="E1009" s="315" t="e">
        <f t="shared" si="15"/>
        <v>#REF!</v>
      </c>
    </row>
    <row r="1010" spans="1:5" x14ac:dyDescent="0.2">
      <c r="A1010" s="313">
        <v>1813213210</v>
      </c>
      <c r="B1010" s="313" t="s">
        <v>928</v>
      </c>
      <c r="C1010" s="314">
        <v>2335909</v>
      </c>
      <c r="D1010" s="313" t="e">
        <f>VLOOKUP(A1010,#REF!,4,FALSE)</f>
        <v>#REF!</v>
      </c>
      <c r="E1010" s="315" t="e">
        <f t="shared" si="15"/>
        <v>#REF!</v>
      </c>
    </row>
    <row r="1011" spans="1:5" x14ac:dyDescent="0.2">
      <c r="A1011" s="313">
        <v>1813214110</v>
      </c>
      <c r="B1011" s="313" t="s">
        <v>162</v>
      </c>
      <c r="C1011" s="314">
        <v>144954</v>
      </c>
      <c r="D1011" s="313" t="e">
        <f>VLOOKUP(A1011,#REF!,4,FALSE)</f>
        <v>#REF!</v>
      </c>
      <c r="E1011" s="315" t="e">
        <f t="shared" si="15"/>
        <v>#REF!</v>
      </c>
    </row>
    <row r="1012" spans="1:5" x14ac:dyDescent="0.2">
      <c r="A1012" s="313">
        <v>1813304110</v>
      </c>
      <c r="B1012" s="313" t="s">
        <v>919</v>
      </c>
      <c r="C1012" s="314">
        <v>265281</v>
      </c>
      <c r="D1012" s="313" t="e">
        <f>VLOOKUP(A1012,#REF!,4,FALSE)</f>
        <v>#REF!</v>
      </c>
      <c r="E1012" s="315" t="e">
        <f t="shared" si="15"/>
        <v>#REF!</v>
      </c>
    </row>
    <row r="1013" spans="1:5" x14ac:dyDescent="0.2">
      <c r="A1013" s="313">
        <v>1813305110</v>
      </c>
      <c r="B1013" s="313" t="s">
        <v>929</v>
      </c>
      <c r="C1013" s="314">
        <v>271252</v>
      </c>
      <c r="D1013" s="313" t="e">
        <f>VLOOKUP(A1013,#REF!,4,FALSE)</f>
        <v>#REF!</v>
      </c>
      <c r="E1013" s="315" t="e">
        <f t="shared" si="15"/>
        <v>#REF!</v>
      </c>
    </row>
    <row r="1014" spans="1:5" x14ac:dyDescent="0.2">
      <c r="A1014" s="313">
        <v>1813313110</v>
      </c>
      <c r="B1014" s="313" t="s">
        <v>930</v>
      </c>
      <c r="C1014" s="314">
        <v>2386795</v>
      </c>
      <c r="D1014" s="313" t="e">
        <f>VLOOKUP(A1014,#REF!,4,FALSE)</f>
        <v>#REF!</v>
      </c>
      <c r="E1014" s="315" t="e">
        <f t="shared" si="15"/>
        <v>#REF!</v>
      </c>
    </row>
    <row r="1015" spans="1:5" x14ac:dyDescent="0.2">
      <c r="A1015" s="313">
        <v>1813313210</v>
      </c>
      <c r="B1015" s="313" t="s">
        <v>931</v>
      </c>
      <c r="C1015" s="314">
        <v>654850</v>
      </c>
      <c r="D1015" s="313" t="e">
        <f>VLOOKUP(A1015,#REF!,4,FALSE)</f>
        <v>#REF!</v>
      </c>
      <c r="E1015" s="315" t="e">
        <f t="shared" si="15"/>
        <v>#REF!</v>
      </c>
    </row>
    <row r="1016" spans="1:5" x14ac:dyDescent="0.2">
      <c r="A1016" s="313">
        <v>1813705110</v>
      </c>
      <c r="B1016" s="313" t="s">
        <v>932</v>
      </c>
      <c r="C1016" s="314">
        <v>127329</v>
      </c>
      <c r="D1016" s="313" t="e">
        <f>VLOOKUP(A1016,#REF!,4,FALSE)</f>
        <v>#REF!</v>
      </c>
      <c r="E1016" s="315" t="e">
        <f t="shared" si="15"/>
        <v>#REF!</v>
      </c>
    </row>
    <row r="1017" spans="1:5" x14ac:dyDescent="0.2">
      <c r="A1017" s="313">
        <v>1815701110</v>
      </c>
      <c r="B1017" s="313" t="s">
        <v>163</v>
      </c>
      <c r="D1017" s="313" t="e">
        <f>VLOOKUP(A1017,#REF!,4,FALSE)</f>
        <v>#REF!</v>
      </c>
      <c r="E1017" s="315" t="e">
        <f t="shared" si="15"/>
        <v>#REF!</v>
      </c>
    </row>
    <row r="1018" spans="1:5" x14ac:dyDescent="0.2">
      <c r="A1018" s="313">
        <v>1815788110</v>
      </c>
      <c r="B1018" s="313" t="s">
        <v>933</v>
      </c>
      <c r="D1018" s="313" t="e">
        <f>VLOOKUP(A1018,#REF!,4,FALSE)</f>
        <v>#REF!</v>
      </c>
      <c r="E1018" s="315" t="e">
        <f t="shared" si="15"/>
        <v>#REF!</v>
      </c>
    </row>
    <row r="1019" spans="1:5" x14ac:dyDescent="0.2">
      <c r="A1019" s="313">
        <v>1817100110</v>
      </c>
      <c r="B1019" s="313" t="s">
        <v>934</v>
      </c>
      <c r="C1019" s="314">
        <v>262048</v>
      </c>
      <c r="D1019" s="313" t="e">
        <f>VLOOKUP(A1019,#REF!,4,FALSE)</f>
        <v>#REF!</v>
      </c>
      <c r="E1019" s="315" t="e">
        <f t="shared" si="15"/>
        <v>#REF!</v>
      </c>
    </row>
    <row r="1020" spans="1:5" x14ac:dyDescent="0.2">
      <c r="A1020" s="313">
        <v>1817200110</v>
      </c>
      <c r="B1020" s="313" t="s">
        <v>1490</v>
      </c>
      <c r="C1020" s="314">
        <v>244498</v>
      </c>
      <c r="D1020" s="313" t="e">
        <f>VLOOKUP(A1020,#REF!,4,FALSE)</f>
        <v>#REF!</v>
      </c>
      <c r="E1020" s="315" t="e">
        <f t="shared" si="15"/>
        <v>#REF!</v>
      </c>
    </row>
    <row r="1021" spans="1:5" x14ac:dyDescent="0.2">
      <c r="A1021" s="313">
        <v>1817300110</v>
      </c>
      <c r="B1021" s="313" t="s">
        <v>523</v>
      </c>
      <c r="C1021" s="314">
        <v>1951107</v>
      </c>
      <c r="D1021" s="313" t="e">
        <f>VLOOKUP(A1021,#REF!,4,FALSE)</f>
        <v>#REF!</v>
      </c>
      <c r="E1021" s="315" t="e">
        <f t="shared" si="15"/>
        <v>#REF!</v>
      </c>
    </row>
    <row r="1022" spans="1:5" x14ac:dyDescent="0.2">
      <c r="A1022" s="313">
        <v>1817304110</v>
      </c>
      <c r="B1022" s="313" t="s">
        <v>936</v>
      </c>
      <c r="C1022" s="314">
        <v>200626</v>
      </c>
      <c r="D1022" s="313" t="e">
        <f>VLOOKUP(A1022,#REF!,4,FALSE)</f>
        <v>#REF!</v>
      </c>
      <c r="E1022" s="315" t="e">
        <f t="shared" si="15"/>
        <v>#REF!</v>
      </c>
    </row>
    <row r="1023" spans="1:5" x14ac:dyDescent="0.2">
      <c r="A1023" s="313">
        <v>1817600110</v>
      </c>
      <c r="B1023" s="313" t="s">
        <v>523</v>
      </c>
      <c r="C1023" s="314">
        <v>364494</v>
      </c>
      <c r="D1023" s="313" t="e">
        <f>VLOOKUP(A1023,#REF!,4,FALSE)</f>
        <v>#REF!</v>
      </c>
      <c r="E1023" s="315" t="e">
        <f t="shared" si="15"/>
        <v>#REF!</v>
      </c>
    </row>
    <row r="1024" spans="1:5" x14ac:dyDescent="0.2">
      <c r="A1024" s="313">
        <v>1817622210</v>
      </c>
      <c r="B1024" s="313" t="s">
        <v>938</v>
      </c>
      <c r="C1024" s="314">
        <v>63916</v>
      </c>
      <c r="D1024" s="313" t="e">
        <f>VLOOKUP(A1024,#REF!,4,FALSE)</f>
        <v>#REF!</v>
      </c>
      <c r="E1024" s="315" t="e">
        <f t="shared" si="15"/>
        <v>#REF!</v>
      </c>
    </row>
    <row r="1025" spans="1:5" x14ac:dyDescent="0.2">
      <c r="A1025" s="313">
        <v>1817700110</v>
      </c>
      <c r="B1025" s="313" t="s">
        <v>939</v>
      </c>
      <c r="C1025" s="314">
        <v>857362</v>
      </c>
      <c r="D1025" s="313" t="e">
        <f>VLOOKUP(A1025,#REF!,4,FALSE)</f>
        <v>#REF!</v>
      </c>
      <c r="E1025" s="315" t="e">
        <f t="shared" si="15"/>
        <v>#REF!</v>
      </c>
    </row>
    <row r="1026" spans="1:5" x14ac:dyDescent="0.2">
      <c r="A1026" s="313">
        <v>1817701110</v>
      </c>
      <c r="B1026" s="313" t="s">
        <v>940</v>
      </c>
      <c r="C1026" s="314">
        <v>185709</v>
      </c>
      <c r="D1026" s="313" t="e">
        <f>VLOOKUP(A1026,#REF!,4,FALSE)</f>
        <v>#REF!</v>
      </c>
      <c r="E1026" s="315" t="e">
        <f t="shared" si="15"/>
        <v>#REF!</v>
      </c>
    </row>
    <row r="1027" spans="1:5" x14ac:dyDescent="0.2">
      <c r="A1027" s="313">
        <v>1817710110</v>
      </c>
      <c r="B1027" s="313" t="s">
        <v>941</v>
      </c>
      <c r="C1027" s="314">
        <v>15587</v>
      </c>
      <c r="D1027" s="313" t="e">
        <f>VLOOKUP(A1027,#REF!,4,FALSE)</f>
        <v>#REF!</v>
      </c>
      <c r="E1027" s="315" t="e">
        <f t="shared" si="15"/>
        <v>#REF!</v>
      </c>
    </row>
    <row r="1028" spans="1:5" x14ac:dyDescent="0.2">
      <c r="A1028" s="313">
        <v>1817711110</v>
      </c>
      <c r="B1028" s="313" t="s">
        <v>942</v>
      </c>
      <c r="D1028" s="313" t="e">
        <f>VLOOKUP(A1028,#REF!,4,FALSE)</f>
        <v>#REF!</v>
      </c>
      <c r="E1028" s="315" t="e">
        <f t="shared" si="15"/>
        <v>#REF!</v>
      </c>
    </row>
    <row r="1029" spans="1:5" x14ac:dyDescent="0.2">
      <c r="A1029" s="313">
        <v>1817727110</v>
      </c>
      <c r="B1029" s="313" t="s">
        <v>943</v>
      </c>
      <c r="C1029" s="314">
        <v>217125</v>
      </c>
      <c r="D1029" s="313" t="e">
        <f>VLOOKUP(A1029,#REF!,4,FALSE)</f>
        <v>#REF!</v>
      </c>
      <c r="E1029" s="315" t="e">
        <f t="shared" si="15"/>
        <v>#REF!</v>
      </c>
    </row>
    <row r="1030" spans="1:5" x14ac:dyDescent="0.2">
      <c r="A1030" s="313">
        <v>1817728110</v>
      </c>
      <c r="B1030" s="313" t="s">
        <v>944</v>
      </c>
      <c r="D1030" s="313" t="e">
        <f>VLOOKUP(A1030,#REF!,4,FALSE)</f>
        <v>#REF!</v>
      </c>
      <c r="E1030" s="315" t="e">
        <f t="shared" ref="E1030:E1093" si="16">C1030-D1030</f>
        <v>#REF!</v>
      </c>
    </row>
    <row r="1031" spans="1:5" x14ac:dyDescent="0.2">
      <c r="A1031" s="313">
        <v>1817800110</v>
      </c>
      <c r="B1031" s="313" t="s">
        <v>1159</v>
      </c>
      <c r="C1031" s="314">
        <v>34201</v>
      </c>
      <c r="D1031" s="313" t="e">
        <f>VLOOKUP(A1031,#REF!,4,FALSE)</f>
        <v>#REF!</v>
      </c>
      <c r="E1031" s="315" t="e">
        <f t="shared" si="16"/>
        <v>#REF!</v>
      </c>
    </row>
    <row r="1032" spans="1:5" x14ac:dyDescent="0.2">
      <c r="A1032" s="313">
        <v>1817800210</v>
      </c>
      <c r="B1032" s="313" t="s">
        <v>945</v>
      </c>
      <c r="C1032" s="314">
        <v>2342345</v>
      </c>
      <c r="D1032" s="313" t="e">
        <f>VLOOKUP(A1032,#REF!,4,FALSE)</f>
        <v>#REF!</v>
      </c>
      <c r="E1032" s="315" t="e">
        <f t="shared" si="16"/>
        <v>#REF!</v>
      </c>
    </row>
    <row r="1033" spans="1:5" x14ac:dyDescent="0.2">
      <c r="A1033" s="313">
        <v>1817900110</v>
      </c>
      <c r="B1033" s="313" t="s">
        <v>523</v>
      </c>
      <c r="C1033" s="314">
        <v>177022</v>
      </c>
      <c r="D1033" s="313" t="e">
        <f>VLOOKUP(A1033,#REF!,4,FALSE)</f>
        <v>#REF!</v>
      </c>
      <c r="E1033" s="315" t="e">
        <f t="shared" si="16"/>
        <v>#REF!</v>
      </c>
    </row>
    <row r="1034" spans="1:5" x14ac:dyDescent="0.2">
      <c r="A1034" s="313">
        <v>1817904110</v>
      </c>
      <c r="B1034" s="313" t="s">
        <v>946</v>
      </c>
      <c r="C1034" s="314">
        <v>189602</v>
      </c>
      <c r="D1034" s="313" t="e">
        <f>VLOOKUP(A1034,#REF!,4,FALSE)</f>
        <v>#REF!</v>
      </c>
      <c r="E1034" s="315" t="e">
        <f t="shared" si="16"/>
        <v>#REF!</v>
      </c>
    </row>
    <row r="1035" spans="1:5" x14ac:dyDescent="0.2">
      <c r="A1035" s="313">
        <v>1817950210</v>
      </c>
      <c r="B1035" s="313" t="s">
        <v>947</v>
      </c>
      <c r="C1035" s="314">
        <v>1822092</v>
      </c>
      <c r="D1035" s="313" t="e">
        <f>VLOOKUP(A1035,#REF!,4,FALSE)</f>
        <v>#REF!</v>
      </c>
      <c r="E1035" s="315" t="e">
        <f t="shared" si="16"/>
        <v>#REF!</v>
      </c>
    </row>
    <row r="1036" spans="1:5" x14ac:dyDescent="0.2">
      <c r="A1036" s="313">
        <v>1817951110</v>
      </c>
      <c r="B1036" s="313" t="s">
        <v>948</v>
      </c>
      <c r="C1036" s="314">
        <v>140964</v>
      </c>
      <c r="D1036" s="313" t="e">
        <f>VLOOKUP(A1036,#REF!,4,FALSE)</f>
        <v>#REF!</v>
      </c>
      <c r="E1036" s="315" t="e">
        <f t="shared" si="16"/>
        <v>#REF!</v>
      </c>
    </row>
    <row r="1037" spans="1:5" x14ac:dyDescent="0.2">
      <c r="A1037" s="313">
        <v>1817960110</v>
      </c>
      <c r="B1037" s="313" t="s">
        <v>949</v>
      </c>
      <c r="C1037" s="314">
        <v>981664</v>
      </c>
      <c r="D1037" s="313" t="e">
        <f>VLOOKUP(A1037,#REF!,4,FALSE)</f>
        <v>#REF!</v>
      </c>
      <c r="E1037" s="315" t="e">
        <f t="shared" si="16"/>
        <v>#REF!</v>
      </c>
    </row>
    <row r="1038" spans="1:5" x14ac:dyDescent="0.2">
      <c r="A1038" s="313">
        <v>1817961110</v>
      </c>
      <c r="B1038" s="313" t="s">
        <v>950</v>
      </c>
      <c r="C1038" s="314">
        <v>100619</v>
      </c>
      <c r="D1038" s="313" t="e">
        <f>VLOOKUP(A1038,#REF!,4,FALSE)</f>
        <v>#REF!</v>
      </c>
      <c r="E1038" s="315" t="e">
        <f t="shared" si="16"/>
        <v>#REF!</v>
      </c>
    </row>
    <row r="1039" spans="1:5" x14ac:dyDescent="0.2">
      <c r="A1039" s="313">
        <v>1817962110</v>
      </c>
      <c r="B1039" s="313" t="s">
        <v>951</v>
      </c>
      <c r="D1039" s="313" t="e">
        <f>VLOOKUP(A1039,#REF!,4,FALSE)</f>
        <v>#REF!</v>
      </c>
      <c r="E1039" s="315" t="e">
        <f t="shared" si="16"/>
        <v>#REF!</v>
      </c>
    </row>
    <row r="1040" spans="1:5" x14ac:dyDescent="0.2">
      <c r="A1040" s="313">
        <v>1819951210</v>
      </c>
      <c r="B1040" s="313" t="s">
        <v>952</v>
      </c>
      <c r="C1040" s="314">
        <v>14477</v>
      </c>
      <c r="D1040" s="313" t="e">
        <f>VLOOKUP(A1040,#REF!,4,FALSE)</f>
        <v>#REF!</v>
      </c>
      <c r="E1040" s="315" t="e">
        <f t="shared" si="16"/>
        <v>#REF!</v>
      </c>
    </row>
    <row r="1041" spans="1:5" x14ac:dyDescent="0.2">
      <c r="A1041" s="313">
        <v>1819999110</v>
      </c>
      <c r="B1041" s="313" t="s">
        <v>919</v>
      </c>
      <c r="C1041" s="314">
        <v>242843</v>
      </c>
      <c r="D1041" s="313" t="e">
        <f>VLOOKUP(A1041,#REF!,4,FALSE)</f>
        <v>#REF!</v>
      </c>
      <c r="E1041" s="315" t="e">
        <f t="shared" si="16"/>
        <v>#REF!</v>
      </c>
    </row>
    <row r="1042" spans="1:5" x14ac:dyDescent="0.2">
      <c r="A1042" s="313">
        <v>1819999210</v>
      </c>
      <c r="B1042" s="313" t="s">
        <v>1489</v>
      </c>
      <c r="C1042" s="314">
        <v>243498</v>
      </c>
      <c r="D1042" s="313" t="e">
        <f>VLOOKUP(A1042,#REF!,4,FALSE)</f>
        <v>#REF!</v>
      </c>
      <c r="E1042" s="315" t="e">
        <f t="shared" si="16"/>
        <v>#REF!</v>
      </c>
    </row>
    <row r="1043" spans="1:5" x14ac:dyDescent="0.2">
      <c r="A1043" s="313" t="s">
        <v>277</v>
      </c>
      <c r="B1043" s="313" t="s">
        <v>918</v>
      </c>
      <c r="C1043" s="314">
        <v>36688791</v>
      </c>
      <c r="D1043" s="313" t="e">
        <f>VLOOKUP(A1043,#REF!,4,FALSE)</f>
        <v>#REF!</v>
      </c>
      <c r="E1043" s="315" t="e">
        <f t="shared" si="16"/>
        <v>#REF!</v>
      </c>
    </row>
    <row r="1044" spans="1:5" x14ac:dyDescent="0.2">
      <c r="A1044" s="313" t="s">
        <v>954</v>
      </c>
      <c r="B1044" s="313" t="s">
        <v>955</v>
      </c>
      <c r="D1044" s="313" t="e">
        <f>VLOOKUP(A1044,#REF!,4,FALSE)</f>
        <v>#REF!</v>
      </c>
      <c r="E1044" s="315" t="e">
        <f t="shared" si="16"/>
        <v>#REF!</v>
      </c>
    </row>
    <row r="1045" spans="1:5" x14ac:dyDescent="0.2">
      <c r="A1045" s="313">
        <v>1812200430</v>
      </c>
      <c r="B1045" s="313" t="s">
        <v>956</v>
      </c>
      <c r="C1045" s="314">
        <v>419589</v>
      </c>
      <c r="D1045" s="313" t="e">
        <f>VLOOKUP(A1045,#REF!,4,FALSE)</f>
        <v>#REF!</v>
      </c>
      <c r="E1045" s="315" t="e">
        <f t="shared" si="16"/>
        <v>#REF!</v>
      </c>
    </row>
    <row r="1046" spans="1:5" x14ac:dyDescent="0.2">
      <c r="A1046" s="313">
        <v>1812200540</v>
      </c>
      <c r="B1046" s="313" t="s">
        <v>957</v>
      </c>
      <c r="C1046" s="314">
        <v>19224</v>
      </c>
      <c r="D1046" s="313" t="e">
        <f>VLOOKUP(A1046,#REF!,4,FALSE)</f>
        <v>#REF!</v>
      </c>
      <c r="E1046" s="315" t="e">
        <f t="shared" si="16"/>
        <v>#REF!</v>
      </c>
    </row>
    <row r="1047" spans="1:5" x14ac:dyDescent="0.2">
      <c r="A1047" s="313">
        <v>1812200550</v>
      </c>
      <c r="B1047" s="313" t="s">
        <v>822</v>
      </c>
      <c r="C1047" s="314">
        <v>6000</v>
      </c>
      <c r="D1047" s="313" t="e">
        <f>VLOOKUP(A1047,#REF!,4,FALSE)</f>
        <v>#REF!</v>
      </c>
      <c r="E1047" s="315" t="e">
        <f t="shared" si="16"/>
        <v>#REF!</v>
      </c>
    </row>
    <row r="1048" spans="1:5" x14ac:dyDescent="0.2">
      <c r="A1048" s="313">
        <v>1812200720</v>
      </c>
      <c r="B1048" s="313" t="s">
        <v>958</v>
      </c>
      <c r="C1048" s="314">
        <v>100000</v>
      </c>
      <c r="D1048" s="313" t="e">
        <f>VLOOKUP(A1048,#REF!,4,FALSE)</f>
        <v>#REF!</v>
      </c>
      <c r="E1048" s="315" t="e">
        <f t="shared" si="16"/>
        <v>#REF!</v>
      </c>
    </row>
    <row r="1049" spans="1:5" x14ac:dyDescent="0.2">
      <c r="A1049" s="313">
        <v>1812200721</v>
      </c>
      <c r="B1049" s="313" t="s">
        <v>959</v>
      </c>
      <c r="C1049" s="314">
        <v>35000</v>
      </c>
      <c r="D1049" s="313" t="e">
        <f>VLOOKUP(A1049,#REF!,4,FALSE)</f>
        <v>#REF!</v>
      </c>
      <c r="E1049" s="315" t="e">
        <f t="shared" si="16"/>
        <v>#REF!</v>
      </c>
    </row>
    <row r="1050" spans="1:5" x14ac:dyDescent="0.2">
      <c r="A1050" s="313">
        <v>1812200750</v>
      </c>
      <c r="B1050" s="313" t="s">
        <v>956</v>
      </c>
      <c r="C1050" s="314">
        <v>148000</v>
      </c>
      <c r="D1050" s="313" t="e">
        <f>VLOOKUP(A1050,#REF!,4,FALSE)</f>
        <v>#REF!</v>
      </c>
      <c r="E1050" s="315" t="e">
        <f t="shared" si="16"/>
        <v>#REF!</v>
      </c>
    </row>
    <row r="1051" spans="1:5" x14ac:dyDescent="0.2">
      <c r="A1051" s="313">
        <v>1812200780</v>
      </c>
      <c r="B1051" s="313" t="s">
        <v>580</v>
      </c>
      <c r="C1051" s="314">
        <v>100000</v>
      </c>
      <c r="D1051" s="313" t="e">
        <f>VLOOKUP(A1051,#REF!,4,FALSE)</f>
        <v>#REF!</v>
      </c>
      <c r="E1051" s="315" t="e">
        <f t="shared" si="16"/>
        <v>#REF!</v>
      </c>
    </row>
    <row r="1052" spans="1:5" x14ac:dyDescent="0.2">
      <c r="A1052" s="313">
        <v>1812200811</v>
      </c>
      <c r="B1052" s="313" t="s">
        <v>960</v>
      </c>
      <c r="C1052" s="314">
        <v>325000</v>
      </c>
      <c r="D1052" s="313" t="e">
        <f>VLOOKUP(A1052,#REF!,4,FALSE)</f>
        <v>#REF!</v>
      </c>
      <c r="E1052" s="315" t="e">
        <f t="shared" si="16"/>
        <v>#REF!</v>
      </c>
    </row>
    <row r="1053" spans="1:5" x14ac:dyDescent="0.2">
      <c r="A1053" s="313">
        <v>1812200930</v>
      </c>
      <c r="B1053" s="313" t="s">
        <v>961</v>
      </c>
      <c r="C1053" s="314">
        <v>85000</v>
      </c>
      <c r="D1053" s="313" t="e">
        <f>VLOOKUP(A1053,#REF!,4,FALSE)</f>
        <v>#REF!</v>
      </c>
      <c r="E1053" s="315" t="e">
        <f t="shared" si="16"/>
        <v>#REF!</v>
      </c>
    </row>
    <row r="1054" spans="1:5" x14ac:dyDescent="0.2">
      <c r="A1054" s="313">
        <v>1812201560</v>
      </c>
      <c r="B1054" s="313" t="s">
        <v>664</v>
      </c>
      <c r="C1054" s="314">
        <v>3000</v>
      </c>
      <c r="D1054" s="313" t="e">
        <f>VLOOKUP(A1054,#REF!,4,FALSE)</f>
        <v>#REF!</v>
      </c>
      <c r="E1054" s="315" t="e">
        <f t="shared" si="16"/>
        <v>#REF!</v>
      </c>
    </row>
    <row r="1055" spans="1:5" x14ac:dyDescent="0.2">
      <c r="A1055" s="313">
        <v>1812201780</v>
      </c>
      <c r="B1055" s="313" t="s">
        <v>962</v>
      </c>
      <c r="C1055" s="314">
        <v>35000</v>
      </c>
      <c r="D1055" s="313" t="e">
        <f>VLOOKUP(A1055,#REF!,4,FALSE)</f>
        <v>#REF!</v>
      </c>
      <c r="E1055" s="315" t="e">
        <f t="shared" si="16"/>
        <v>#REF!</v>
      </c>
    </row>
    <row r="1056" spans="1:5" x14ac:dyDescent="0.2">
      <c r="A1056" s="313">
        <v>1812210760</v>
      </c>
      <c r="B1056" s="313" t="s">
        <v>963</v>
      </c>
      <c r="C1056" s="314">
        <v>6483444</v>
      </c>
      <c r="D1056" s="313" t="e">
        <f>VLOOKUP(A1056,#REF!,4,FALSE)</f>
        <v>#REF!</v>
      </c>
      <c r="E1056" s="315" t="e">
        <f t="shared" si="16"/>
        <v>#REF!</v>
      </c>
    </row>
    <row r="1057" spans="1:5" x14ac:dyDescent="0.2">
      <c r="A1057" s="313">
        <v>1812220760</v>
      </c>
      <c r="B1057" s="313" t="s">
        <v>363</v>
      </c>
      <c r="C1057" s="314">
        <v>4820402</v>
      </c>
      <c r="D1057" s="313" t="e">
        <f>VLOOKUP(A1057,#REF!,4,FALSE)</f>
        <v>#REF!</v>
      </c>
      <c r="E1057" s="315" t="e">
        <f t="shared" si="16"/>
        <v>#REF!</v>
      </c>
    </row>
    <row r="1058" spans="1:5" x14ac:dyDescent="0.2">
      <c r="A1058" s="313">
        <v>1812500780</v>
      </c>
      <c r="B1058" s="313" t="s">
        <v>964</v>
      </c>
      <c r="C1058" s="314">
        <v>1841878</v>
      </c>
      <c r="D1058" s="313" t="e">
        <f>VLOOKUP(A1058,#REF!,4,FALSE)</f>
        <v>#REF!</v>
      </c>
      <c r="E1058" s="315" t="e">
        <f t="shared" si="16"/>
        <v>#REF!</v>
      </c>
    </row>
    <row r="1059" spans="1:5" x14ac:dyDescent="0.2">
      <c r="A1059" s="313">
        <v>1812501780</v>
      </c>
      <c r="B1059" s="313" t="s">
        <v>965</v>
      </c>
      <c r="C1059" s="314">
        <v>2455717</v>
      </c>
      <c r="D1059" s="313" t="e">
        <f>VLOOKUP(A1059,#REF!,4,FALSE)</f>
        <v>#REF!</v>
      </c>
      <c r="E1059" s="315" t="e">
        <f t="shared" si="16"/>
        <v>#REF!</v>
      </c>
    </row>
    <row r="1060" spans="1:5" x14ac:dyDescent="0.2">
      <c r="A1060" s="313">
        <v>1813200430</v>
      </c>
      <c r="B1060" s="313" t="s">
        <v>839</v>
      </c>
      <c r="C1060" s="314">
        <v>1276292</v>
      </c>
      <c r="D1060" s="313" t="e">
        <f>VLOOKUP(A1060,#REF!,4,FALSE)</f>
        <v>#REF!</v>
      </c>
      <c r="E1060" s="315" t="e">
        <f t="shared" si="16"/>
        <v>#REF!</v>
      </c>
    </row>
    <row r="1061" spans="1:5" x14ac:dyDescent="0.2">
      <c r="A1061" s="313">
        <v>1813200470</v>
      </c>
      <c r="B1061" s="313" t="s">
        <v>966</v>
      </c>
      <c r="C1061" s="314">
        <v>25000</v>
      </c>
      <c r="D1061" s="313" t="e">
        <f>VLOOKUP(A1061,#REF!,4,FALSE)</f>
        <v>#REF!</v>
      </c>
      <c r="E1061" s="315" t="e">
        <f t="shared" si="16"/>
        <v>#REF!</v>
      </c>
    </row>
    <row r="1062" spans="1:5" x14ac:dyDescent="0.2">
      <c r="A1062" s="313">
        <v>1813200540</v>
      </c>
      <c r="B1062" s="313" t="s">
        <v>967</v>
      </c>
      <c r="C1062" s="314">
        <v>3350</v>
      </c>
      <c r="D1062" s="313" t="e">
        <f>VLOOKUP(A1062,#REF!,4,FALSE)</f>
        <v>#REF!</v>
      </c>
      <c r="E1062" s="315" t="e">
        <f t="shared" si="16"/>
        <v>#REF!</v>
      </c>
    </row>
    <row r="1063" spans="1:5" x14ac:dyDescent="0.2">
      <c r="A1063" s="313">
        <v>1813200720</v>
      </c>
      <c r="B1063" s="313" t="s">
        <v>689</v>
      </c>
      <c r="C1063" s="314">
        <v>134650</v>
      </c>
      <c r="D1063" s="313" t="e">
        <f>VLOOKUP(A1063,#REF!,4,FALSE)</f>
        <v>#REF!</v>
      </c>
      <c r="E1063" s="315" t="e">
        <f t="shared" si="16"/>
        <v>#REF!</v>
      </c>
    </row>
    <row r="1064" spans="1:5" x14ac:dyDescent="0.2">
      <c r="A1064" s="313">
        <v>1813200721</v>
      </c>
      <c r="B1064" s="313" t="s">
        <v>968</v>
      </c>
      <c r="C1064" s="314">
        <v>250000</v>
      </c>
      <c r="D1064" s="313" t="e">
        <f>VLOOKUP(A1064,#REF!,4,FALSE)</f>
        <v>#REF!</v>
      </c>
      <c r="E1064" s="315" t="e">
        <f t="shared" si="16"/>
        <v>#REF!</v>
      </c>
    </row>
    <row r="1065" spans="1:5" x14ac:dyDescent="0.2">
      <c r="A1065" s="313">
        <v>1813200750</v>
      </c>
      <c r="B1065" s="313" t="s">
        <v>714</v>
      </c>
      <c r="C1065" s="314">
        <v>568000</v>
      </c>
      <c r="D1065" s="313" t="e">
        <f>VLOOKUP(A1065,#REF!,4,FALSE)</f>
        <v>#REF!</v>
      </c>
      <c r="E1065" s="315" t="e">
        <f t="shared" si="16"/>
        <v>#REF!</v>
      </c>
    </row>
    <row r="1066" spans="1:5" x14ac:dyDescent="0.2">
      <c r="A1066" s="313">
        <v>1813200780</v>
      </c>
      <c r="B1066" s="313" t="s">
        <v>580</v>
      </c>
      <c r="C1066" s="314">
        <v>25000</v>
      </c>
      <c r="D1066" s="313" t="e">
        <f>VLOOKUP(A1066,#REF!,4,FALSE)</f>
        <v>#REF!</v>
      </c>
      <c r="E1066" s="315" t="e">
        <f t="shared" si="16"/>
        <v>#REF!</v>
      </c>
    </row>
    <row r="1067" spans="1:5" x14ac:dyDescent="0.2">
      <c r="A1067" s="313">
        <v>1813200910</v>
      </c>
      <c r="B1067" s="313" t="s">
        <v>738</v>
      </c>
      <c r="C1067" s="314">
        <v>56000</v>
      </c>
      <c r="D1067" s="313" t="e">
        <f>VLOOKUP(A1067,#REF!,4,FALSE)</f>
        <v>#REF!</v>
      </c>
      <c r="E1067" s="315" t="e">
        <f t="shared" si="16"/>
        <v>#REF!</v>
      </c>
    </row>
    <row r="1068" spans="1:5" x14ac:dyDescent="0.2">
      <c r="A1068" s="313">
        <v>1813200930</v>
      </c>
      <c r="B1068" s="313" t="s">
        <v>961</v>
      </c>
      <c r="C1068" s="314">
        <v>77000</v>
      </c>
      <c r="D1068" s="313" t="e">
        <f>VLOOKUP(A1068,#REF!,4,FALSE)</f>
        <v>#REF!</v>
      </c>
      <c r="E1068" s="315" t="e">
        <f t="shared" si="16"/>
        <v>#REF!</v>
      </c>
    </row>
    <row r="1069" spans="1:5" x14ac:dyDescent="0.2">
      <c r="A1069" s="313">
        <v>1813200980</v>
      </c>
      <c r="B1069" s="313" t="s">
        <v>969</v>
      </c>
      <c r="C1069" s="314">
        <v>2096000</v>
      </c>
      <c r="D1069" s="313" t="e">
        <f>VLOOKUP(A1069,#REF!,4,FALSE)</f>
        <v>#REF!</v>
      </c>
      <c r="E1069" s="315" t="e">
        <f t="shared" si="16"/>
        <v>#REF!</v>
      </c>
    </row>
    <row r="1070" spans="1:5" x14ac:dyDescent="0.2">
      <c r="A1070" s="313">
        <v>1813200981</v>
      </c>
      <c r="B1070" s="313" t="s">
        <v>1494</v>
      </c>
      <c r="C1070" s="314">
        <v>2040000</v>
      </c>
      <c r="D1070" s="313" t="e">
        <f>VLOOKUP(A1070,#REF!,4,FALSE)</f>
        <v>#REF!</v>
      </c>
      <c r="E1070" s="315" t="e">
        <f t="shared" si="16"/>
        <v>#REF!</v>
      </c>
    </row>
    <row r="1071" spans="1:5" x14ac:dyDescent="0.2">
      <c r="A1071" s="313">
        <v>1813201750</v>
      </c>
      <c r="B1071" s="313" t="s">
        <v>970</v>
      </c>
      <c r="C1071" s="314">
        <v>262500</v>
      </c>
      <c r="D1071" s="313" t="e">
        <f>VLOOKUP(A1071,#REF!,4,FALSE)</f>
        <v>#REF!</v>
      </c>
      <c r="E1071" s="315" t="e">
        <f t="shared" si="16"/>
        <v>#REF!</v>
      </c>
    </row>
    <row r="1072" spans="1:5" x14ac:dyDescent="0.2">
      <c r="A1072" s="313">
        <v>1813201780</v>
      </c>
      <c r="B1072" s="313" t="s">
        <v>1493</v>
      </c>
      <c r="C1072" s="314">
        <v>520202</v>
      </c>
      <c r="D1072" s="313" t="e">
        <f>VLOOKUP(A1072,#REF!,4,FALSE)</f>
        <v>#REF!</v>
      </c>
      <c r="E1072" s="315" t="e">
        <f t="shared" si="16"/>
        <v>#REF!</v>
      </c>
    </row>
    <row r="1073" spans="1:5" x14ac:dyDescent="0.2">
      <c r="A1073" s="313">
        <v>1813201781</v>
      </c>
      <c r="B1073" s="313" t="s">
        <v>1492</v>
      </c>
      <c r="C1073" s="314">
        <v>540750</v>
      </c>
      <c r="D1073" s="313" t="e">
        <f>VLOOKUP(A1073,#REF!,4,FALSE)</f>
        <v>#REF!</v>
      </c>
      <c r="E1073" s="315" t="e">
        <f t="shared" si="16"/>
        <v>#REF!</v>
      </c>
    </row>
    <row r="1074" spans="1:5" x14ac:dyDescent="0.2">
      <c r="A1074" s="313">
        <v>1813201980</v>
      </c>
      <c r="B1074" s="313" t="s">
        <v>127</v>
      </c>
      <c r="C1074" s="314">
        <v>1303107</v>
      </c>
      <c r="D1074" s="313" t="e">
        <f>VLOOKUP(A1074,#REF!,4,FALSE)</f>
        <v>#REF!</v>
      </c>
      <c r="E1074" s="315" t="e">
        <f t="shared" si="16"/>
        <v>#REF!</v>
      </c>
    </row>
    <row r="1075" spans="1:5" x14ac:dyDescent="0.2">
      <c r="A1075" s="313">
        <v>1813205760</v>
      </c>
      <c r="B1075" s="313" t="s">
        <v>971</v>
      </c>
      <c r="C1075" s="314">
        <v>75000</v>
      </c>
      <c r="D1075" s="313" t="e">
        <f>VLOOKUP(A1075,#REF!,4,FALSE)</f>
        <v>#REF!</v>
      </c>
      <c r="E1075" s="315" t="e">
        <f t="shared" si="16"/>
        <v>#REF!</v>
      </c>
    </row>
    <row r="1076" spans="1:5" x14ac:dyDescent="0.2">
      <c r="A1076" s="313">
        <v>1813205780</v>
      </c>
      <c r="B1076" s="313" t="s">
        <v>972</v>
      </c>
      <c r="C1076" s="314">
        <v>300000</v>
      </c>
      <c r="D1076" s="313" t="e">
        <f>VLOOKUP(A1076,#REF!,4,FALSE)</f>
        <v>#REF!</v>
      </c>
      <c r="E1076" s="315" t="e">
        <f t="shared" si="16"/>
        <v>#REF!</v>
      </c>
    </row>
    <row r="1077" spans="1:5" x14ac:dyDescent="0.2">
      <c r="A1077" s="313">
        <v>1813205781</v>
      </c>
      <c r="B1077" s="313" t="s">
        <v>1582</v>
      </c>
      <c r="C1077" s="314">
        <v>99000</v>
      </c>
      <c r="D1077" s="313" t="e">
        <f>VLOOKUP(A1077,#REF!,4,FALSE)</f>
        <v>#REF!</v>
      </c>
      <c r="E1077" s="315" t="e">
        <f t="shared" si="16"/>
        <v>#REF!</v>
      </c>
    </row>
    <row r="1078" spans="1:5" x14ac:dyDescent="0.2">
      <c r="A1078" s="313">
        <v>1813211750</v>
      </c>
      <c r="B1078" s="313" t="s">
        <v>974</v>
      </c>
      <c r="C1078" s="314">
        <v>1850000</v>
      </c>
      <c r="D1078" s="313" t="e">
        <f>VLOOKUP(A1078,#REF!,4,FALSE)</f>
        <v>#REF!</v>
      </c>
      <c r="E1078" s="315" t="e">
        <f t="shared" si="16"/>
        <v>#REF!</v>
      </c>
    </row>
    <row r="1079" spans="1:5" x14ac:dyDescent="0.2">
      <c r="A1079" s="313">
        <v>1813300430</v>
      </c>
      <c r="B1079" s="313" t="s">
        <v>975</v>
      </c>
      <c r="C1079" s="314">
        <v>5000</v>
      </c>
      <c r="D1079" s="313" t="e">
        <f>VLOOKUP(A1079,#REF!,4,FALSE)</f>
        <v>#REF!</v>
      </c>
      <c r="E1079" s="315" t="e">
        <f t="shared" si="16"/>
        <v>#REF!</v>
      </c>
    </row>
    <row r="1080" spans="1:5" x14ac:dyDescent="0.2">
      <c r="A1080" s="313">
        <v>1813300721</v>
      </c>
      <c r="B1080" s="313" t="s">
        <v>976</v>
      </c>
      <c r="C1080" s="314">
        <v>552892</v>
      </c>
      <c r="D1080" s="313" t="e">
        <f>VLOOKUP(A1080,#REF!,4,FALSE)</f>
        <v>#REF!</v>
      </c>
      <c r="E1080" s="315" t="e">
        <f t="shared" si="16"/>
        <v>#REF!</v>
      </c>
    </row>
    <row r="1081" spans="1:5" x14ac:dyDescent="0.2">
      <c r="A1081" s="313">
        <v>1813300780</v>
      </c>
      <c r="B1081" s="313" t="s">
        <v>977</v>
      </c>
      <c r="C1081" s="314">
        <v>28625</v>
      </c>
      <c r="D1081" s="313" t="e">
        <f>VLOOKUP(A1081,#REF!,4,FALSE)</f>
        <v>#REF!</v>
      </c>
      <c r="E1081" s="315" t="e">
        <f t="shared" si="16"/>
        <v>#REF!</v>
      </c>
    </row>
    <row r="1082" spans="1:5" x14ac:dyDescent="0.2">
      <c r="A1082" s="313">
        <v>1813311750</v>
      </c>
      <c r="B1082" s="313" t="s">
        <v>978</v>
      </c>
      <c r="C1082" s="314">
        <v>310000</v>
      </c>
      <c r="D1082" s="313" t="e">
        <f>VLOOKUP(A1082,#REF!,4,FALSE)</f>
        <v>#REF!</v>
      </c>
      <c r="E1082" s="315" t="e">
        <f t="shared" si="16"/>
        <v>#REF!</v>
      </c>
    </row>
    <row r="1083" spans="1:5" x14ac:dyDescent="0.2">
      <c r="A1083" s="313">
        <v>1813317780</v>
      </c>
      <c r="B1083" s="313" t="s">
        <v>289</v>
      </c>
      <c r="C1083" s="314">
        <v>1350000</v>
      </c>
      <c r="D1083" s="313" t="e">
        <f>VLOOKUP(A1083,#REF!,4,FALSE)</f>
        <v>#REF!</v>
      </c>
      <c r="E1083" s="315" t="e">
        <f t="shared" si="16"/>
        <v>#REF!</v>
      </c>
    </row>
    <row r="1084" spans="1:5" x14ac:dyDescent="0.2">
      <c r="A1084" s="313">
        <v>1813700750</v>
      </c>
      <c r="B1084" s="313" t="s">
        <v>979</v>
      </c>
      <c r="C1084" s="314">
        <v>45000</v>
      </c>
      <c r="D1084" s="313" t="e">
        <f>VLOOKUP(A1084,#REF!,4,FALSE)</f>
        <v>#REF!</v>
      </c>
      <c r="E1084" s="315" t="e">
        <f t="shared" si="16"/>
        <v>#REF!</v>
      </c>
    </row>
    <row r="1085" spans="1:5" x14ac:dyDescent="0.2">
      <c r="A1085" s="313">
        <v>1813700780</v>
      </c>
      <c r="B1085" s="313" t="s">
        <v>1491</v>
      </c>
      <c r="C1085" s="314">
        <v>1000</v>
      </c>
      <c r="D1085" s="313" t="e">
        <f>VLOOKUP(A1085,#REF!,4,FALSE)</f>
        <v>#REF!</v>
      </c>
      <c r="E1085" s="315" t="e">
        <f t="shared" si="16"/>
        <v>#REF!</v>
      </c>
    </row>
    <row r="1086" spans="1:5" x14ac:dyDescent="0.2">
      <c r="A1086" s="313">
        <v>1815200810</v>
      </c>
      <c r="B1086" s="313" t="s">
        <v>981</v>
      </c>
      <c r="C1086" s="314">
        <v>41360</v>
      </c>
      <c r="D1086" s="313" t="e">
        <f>VLOOKUP(A1086,#REF!,4,FALSE)</f>
        <v>#REF!</v>
      </c>
      <c r="E1086" s="315" t="e">
        <f t="shared" si="16"/>
        <v>#REF!</v>
      </c>
    </row>
    <row r="1087" spans="1:5" x14ac:dyDescent="0.2">
      <c r="A1087" s="313">
        <v>1815700810</v>
      </c>
      <c r="B1087" s="313" t="s">
        <v>982</v>
      </c>
      <c r="C1087" s="314">
        <v>350000</v>
      </c>
      <c r="D1087" s="313" t="e">
        <f>VLOOKUP(A1087,#REF!,4,FALSE)</f>
        <v>#REF!</v>
      </c>
      <c r="E1087" s="315" t="e">
        <f t="shared" si="16"/>
        <v>#REF!</v>
      </c>
    </row>
    <row r="1088" spans="1:5" x14ac:dyDescent="0.2">
      <c r="A1088" s="313">
        <v>1815701810</v>
      </c>
      <c r="B1088" s="313" t="s">
        <v>983</v>
      </c>
      <c r="C1088" s="314">
        <v>14200000</v>
      </c>
      <c r="D1088" s="313" t="e">
        <f>VLOOKUP(A1088,#REF!,4,FALSE)</f>
        <v>#REF!</v>
      </c>
      <c r="E1088" s="315" t="e">
        <f t="shared" si="16"/>
        <v>#REF!</v>
      </c>
    </row>
    <row r="1089" spans="1:5" x14ac:dyDescent="0.2">
      <c r="A1089" s="313">
        <v>1815777780</v>
      </c>
      <c r="B1089" s="313" t="s">
        <v>985</v>
      </c>
      <c r="C1089" s="314">
        <v>1050000</v>
      </c>
      <c r="D1089" s="313" t="e">
        <f>VLOOKUP(A1089,#REF!,4,FALSE)</f>
        <v>#REF!</v>
      </c>
      <c r="E1089" s="315" t="e">
        <f t="shared" si="16"/>
        <v>#REF!</v>
      </c>
    </row>
    <row r="1090" spans="1:5" x14ac:dyDescent="0.2">
      <c r="A1090" s="313">
        <v>1815777781</v>
      </c>
      <c r="B1090" s="313" t="s">
        <v>985</v>
      </c>
      <c r="C1090" s="314">
        <v>16000000</v>
      </c>
      <c r="D1090" s="313" t="e">
        <f>VLOOKUP(A1090,#REF!,4,FALSE)</f>
        <v>#REF!</v>
      </c>
      <c r="E1090" s="315" t="e">
        <f t="shared" si="16"/>
        <v>#REF!</v>
      </c>
    </row>
    <row r="1091" spans="1:5" x14ac:dyDescent="0.2">
      <c r="A1091" s="313">
        <v>1815788780</v>
      </c>
      <c r="B1091" s="313" t="s">
        <v>986</v>
      </c>
      <c r="C1091" s="314">
        <v>625000</v>
      </c>
      <c r="D1091" s="313" t="e">
        <f>VLOOKUP(A1091,#REF!,4,FALSE)</f>
        <v>#REF!</v>
      </c>
      <c r="E1091" s="315" t="e">
        <f t="shared" si="16"/>
        <v>#REF!</v>
      </c>
    </row>
    <row r="1092" spans="1:5" x14ac:dyDescent="0.2">
      <c r="A1092" s="313">
        <v>1815788781</v>
      </c>
      <c r="B1092" s="313" t="s">
        <v>292</v>
      </c>
      <c r="C1092" s="314">
        <v>7000000</v>
      </c>
      <c r="D1092" s="313" t="e">
        <f>VLOOKUP(A1092,#REF!,4,FALSE)</f>
        <v>#REF!</v>
      </c>
      <c r="E1092" s="315" t="e">
        <f t="shared" si="16"/>
        <v>#REF!</v>
      </c>
    </row>
    <row r="1093" spans="1:5" x14ac:dyDescent="0.2">
      <c r="A1093" s="313">
        <v>1817000980</v>
      </c>
      <c r="B1093" s="313" t="s">
        <v>987</v>
      </c>
      <c r="C1093" s="314">
        <v>745903</v>
      </c>
      <c r="D1093" s="313" t="e">
        <f>VLOOKUP(A1093,#REF!,4,FALSE)</f>
        <v>#REF!</v>
      </c>
      <c r="E1093" s="315" t="e">
        <f t="shared" si="16"/>
        <v>#REF!</v>
      </c>
    </row>
    <row r="1094" spans="1:5" x14ac:dyDescent="0.2">
      <c r="A1094" s="313">
        <v>1817100750</v>
      </c>
      <c r="B1094" s="313" t="s">
        <v>988</v>
      </c>
      <c r="C1094" s="314">
        <v>1955935</v>
      </c>
      <c r="D1094" s="313" t="e">
        <f>VLOOKUP(A1094,#REF!,4,FALSE)</f>
        <v>#REF!</v>
      </c>
      <c r="E1094" s="315" t="e">
        <f t="shared" ref="E1094:E1157" si="17">C1094-D1094</f>
        <v>#REF!</v>
      </c>
    </row>
    <row r="1095" spans="1:5" x14ac:dyDescent="0.2">
      <c r="A1095" s="313">
        <v>1817200540</v>
      </c>
      <c r="B1095" s="313" t="s">
        <v>989</v>
      </c>
      <c r="C1095" s="314">
        <v>3500</v>
      </c>
      <c r="D1095" s="313" t="e">
        <f>VLOOKUP(A1095,#REF!,4,FALSE)</f>
        <v>#REF!</v>
      </c>
      <c r="E1095" s="315" t="e">
        <f t="shared" si="17"/>
        <v>#REF!</v>
      </c>
    </row>
    <row r="1096" spans="1:5" x14ac:dyDescent="0.2">
      <c r="A1096" s="313">
        <v>1817200780</v>
      </c>
      <c r="B1096" s="313" t="s">
        <v>990</v>
      </c>
      <c r="D1096" s="313" t="e">
        <f>VLOOKUP(A1096,#REF!,4,FALSE)</f>
        <v>#REF!</v>
      </c>
      <c r="E1096" s="315" t="e">
        <f t="shared" si="17"/>
        <v>#REF!</v>
      </c>
    </row>
    <row r="1097" spans="1:5" x14ac:dyDescent="0.2">
      <c r="A1097" s="313">
        <v>1817300430</v>
      </c>
      <c r="B1097" s="313" t="s">
        <v>839</v>
      </c>
      <c r="C1097" s="314">
        <v>26000</v>
      </c>
      <c r="D1097" s="313" t="e">
        <f>VLOOKUP(A1097,#REF!,4,FALSE)</f>
        <v>#REF!</v>
      </c>
      <c r="E1097" s="315" t="e">
        <f t="shared" si="17"/>
        <v>#REF!</v>
      </c>
    </row>
    <row r="1098" spans="1:5" x14ac:dyDescent="0.2">
      <c r="A1098" s="313">
        <v>1817300470</v>
      </c>
      <c r="B1098" s="313" t="s">
        <v>820</v>
      </c>
      <c r="C1098" s="314">
        <v>3000</v>
      </c>
      <c r="D1098" s="313" t="e">
        <f>VLOOKUP(A1098,#REF!,4,FALSE)</f>
        <v>#REF!</v>
      </c>
      <c r="E1098" s="315" t="e">
        <f t="shared" si="17"/>
        <v>#REF!</v>
      </c>
    </row>
    <row r="1099" spans="1:5" x14ac:dyDescent="0.2">
      <c r="A1099" s="313">
        <v>1817300511</v>
      </c>
      <c r="B1099" s="313" t="s">
        <v>697</v>
      </c>
      <c r="C1099" s="314">
        <v>1500</v>
      </c>
      <c r="D1099" s="313" t="e">
        <f>VLOOKUP(A1099,#REF!,4,FALSE)</f>
        <v>#REF!</v>
      </c>
      <c r="E1099" s="315" t="e">
        <f t="shared" si="17"/>
        <v>#REF!</v>
      </c>
    </row>
    <row r="1100" spans="1:5" x14ac:dyDescent="0.2">
      <c r="A1100" s="313">
        <v>1817300521</v>
      </c>
      <c r="B1100" s="313" t="s">
        <v>991</v>
      </c>
      <c r="C1100" s="314">
        <v>50000</v>
      </c>
      <c r="D1100" s="313" t="e">
        <f>VLOOKUP(A1100,#REF!,4,FALSE)</f>
        <v>#REF!</v>
      </c>
      <c r="E1100" s="315" t="e">
        <f t="shared" si="17"/>
        <v>#REF!</v>
      </c>
    </row>
    <row r="1101" spans="1:5" x14ac:dyDescent="0.2">
      <c r="A1101" s="313">
        <v>1817300540</v>
      </c>
      <c r="B1101" s="313" t="s">
        <v>875</v>
      </c>
      <c r="C1101" s="314">
        <v>11000</v>
      </c>
      <c r="D1101" s="313" t="e">
        <f>VLOOKUP(A1101,#REF!,4,FALSE)</f>
        <v>#REF!</v>
      </c>
      <c r="E1101" s="315" t="e">
        <f t="shared" si="17"/>
        <v>#REF!</v>
      </c>
    </row>
    <row r="1102" spans="1:5" x14ac:dyDescent="0.2">
      <c r="A1102" s="313">
        <v>1817300581</v>
      </c>
      <c r="B1102" s="313" t="s">
        <v>1938</v>
      </c>
      <c r="C1102" s="314">
        <v>2000</v>
      </c>
      <c r="D1102" s="313" t="e">
        <f>VLOOKUP(A1102,#REF!,4,FALSE)</f>
        <v>#REF!</v>
      </c>
      <c r="E1102" s="315" t="e">
        <f t="shared" si="17"/>
        <v>#REF!</v>
      </c>
    </row>
    <row r="1103" spans="1:5" x14ac:dyDescent="0.2">
      <c r="A1103" s="313">
        <v>1817300720</v>
      </c>
      <c r="B1103" s="313" t="s">
        <v>689</v>
      </c>
      <c r="C1103" s="314">
        <v>1000</v>
      </c>
      <c r="D1103" s="313" t="e">
        <f>VLOOKUP(A1103,#REF!,4,FALSE)</f>
        <v>#REF!</v>
      </c>
      <c r="E1103" s="315" t="e">
        <f t="shared" si="17"/>
        <v>#REF!</v>
      </c>
    </row>
    <row r="1104" spans="1:5" x14ac:dyDescent="0.2">
      <c r="A1104" s="313">
        <v>1817300750</v>
      </c>
      <c r="B1104" s="313" t="s">
        <v>714</v>
      </c>
      <c r="C1104" s="314">
        <v>21071</v>
      </c>
      <c r="D1104" s="313" t="e">
        <f>VLOOKUP(A1104,#REF!,4,FALSE)</f>
        <v>#REF!</v>
      </c>
      <c r="E1104" s="315" t="e">
        <f t="shared" si="17"/>
        <v>#REF!</v>
      </c>
    </row>
    <row r="1105" spans="1:5" x14ac:dyDescent="0.2">
      <c r="A1105" s="313">
        <v>1817300780</v>
      </c>
      <c r="B1105" s="313" t="s">
        <v>580</v>
      </c>
      <c r="C1105" s="314">
        <v>4000</v>
      </c>
      <c r="D1105" s="313" t="e">
        <f>VLOOKUP(A1105,#REF!,4,FALSE)</f>
        <v>#REF!</v>
      </c>
      <c r="E1105" s="315" t="e">
        <f t="shared" si="17"/>
        <v>#REF!</v>
      </c>
    </row>
    <row r="1106" spans="1:5" x14ac:dyDescent="0.2">
      <c r="A1106" s="313">
        <v>1817300930</v>
      </c>
      <c r="B1106" s="313" t="s">
        <v>1887</v>
      </c>
      <c r="C1106" s="314">
        <v>3929</v>
      </c>
      <c r="D1106" s="313" t="e">
        <f>VLOOKUP(A1106,#REF!,4,FALSE)</f>
        <v>#REF!</v>
      </c>
      <c r="E1106" s="315" t="e">
        <f t="shared" si="17"/>
        <v>#REF!</v>
      </c>
    </row>
    <row r="1107" spans="1:5" x14ac:dyDescent="0.2">
      <c r="A1107" s="313">
        <v>1817500760</v>
      </c>
      <c r="B1107" s="313" t="s">
        <v>992</v>
      </c>
      <c r="C1107" s="314">
        <v>350000</v>
      </c>
      <c r="D1107" s="313" t="e">
        <f>VLOOKUP(A1107,#REF!,4,FALSE)</f>
        <v>#REF!</v>
      </c>
      <c r="E1107" s="315" t="e">
        <f t="shared" si="17"/>
        <v>#REF!</v>
      </c>
    </row>
    <row r="1108" spans="1:5" x14ac:dyDescent="0.2">
      <c r="A1108" s="313">
        <v>1817600980</v>
      </c>
      <c r="B1108" s="313" t="s">
        <v>993</v>
      </c>
      <c r="C1108" s="314">
        <v>990554</v>
      </c>
      <c r="D1108" s="313" t="e">
        <f>VLOOKUP(A1108,#REF!,4,FALSE)</f>
        <v>#REF!</v>
      </c>
      <c r="E1108" s="315" t="e">
        <f t="shared" si="17"/>
        <v>#REF!</v>
      </c>
    </row>
    <row r="1109" spans="1:5" x14ac:dyDescent="0.2">
      <c r="A1109" s="313">
        <v>1817700780</v>
      </c>
      <c r="B1109" s="313" t="s">
        <v>388</v>
      </c>
      <c r="C1109" s="314">
        <v>5000</v>
      </c>
      <c r="D1109" s="313" t="e">
        <f>VLOOKUP(A1109,#REF!,4,FALSE)</f>
        <v>#REF!</v>
      </c>
      <c r="E1109" s="315" t="e">
        <f t="shared" si="17"/>
        <v>#REF!</v>
      </c>
    </row>
    <row r="1110" spans="1:5" x14ac:dyDescent="0.2">
      <c r="A1110" s="313">
        <v>1817710721</v>
      </c>
      <c r="B1110" s="313" t="s">
        <v>994</v>
      </c>
      <c r="C1110" s="314">
        <v>195000</v>
      </c>
      <c r="D1110" s="313" t="e">
        <f>VLOOKUP(A1110,#REF!,4,FALSE)</f>
        <v>#REF!</v>
      </c>
      <c r="E1110" s="315" t="e">
        <f t="shared" si="17"/>
        <v>#REF!</v>
      </c>
    </row>
    <row r="1111" spans="1:5" x14ac:dyDescent="0.2">
      <c r="A1111" s="313">
        <v>1817800510</v>
      </c>
      <c r="B1111" s="313" t="s">
        <v>995</v>
      </c>
      <c r="C1111" s="314">
        <v>5769876</v>
      </c>
      <c r="D1111" s="313" t="e">
        <f>VLOOKUP(A1111,#REF!,4,FALSE)</f>
        <v>#REF!</v>
      </c>
      <c r="E1111" s="315" t="e">
        <f t="shared" si="17"/>
        <v>#REF!</v>
      </c>
    </row>
    <row r="1112" spans="1:5" x14ac:dyDescent="0.2">
      <c r="A1112" s="313">
        <v>1817900430</v>
      </c>
      <c r="B1112" s="313" t="s">
        <v>996</v>
      </c>
      <c r="C1112" s="314">
        <v>6000</v>
      </c>
      <c r="D1112" s="313" t="e">
        <f>VLOOKUP(A1112,#REF!,4,FALSE)</f>
        <v>#REF!</v>
      </c>
      <c r="E1112" s="315" t="e">
        <f t="shared" si="17"/>
        <v>#REF!</v>
      </c>
    </row>
    <row r="1113" spans="1:5" x14ac:dyDescent="0.2">
      <c r="A1113" s="313">
        <v>1817900540</v>
      </c>
      <c r="B1113" s="313" t="s">
        <v>997</v>
      </c>
      <c r="C1113" s="314">
        <v>4211</v>
      </c>
      <c r="D1113" s="313" t="e">
        <f>VLOOKUP(A1113,#REF!,4,FALSE)</f>
        <v>#REF!</v>
      </c>
      <c r="E1113" s="315" t="e">
        <f t="shared" si="17"/>
        <v>#REF!</v>
      </c>
    </row>
    <row r="1114" spans="1:5" x14ac:dyDescent="0.2">
      <c r="A1114" s="313">
        <v>1817900780</v>
      </c>
      <c r="B1114" s="313" t="s">
        <v>580</v>
      </c>
      <c r="C1114" s="314">
        <v>25000</v>
      </c>
      <c r="D1114" s="313" t="e">
        <f>VLOOKUP(A1114,#REF!,4,FALSE)</f>
        <v>#REF!</v>
      </c>
      <c r="E1114" s="315" t="e">
        <f t="shared" si="17"/>
        <v>#REF!</v>
      </c>
    </row>
    <row r="1115" spans="1:5" x14ac:dyDescent="0.2">
      <c r="A1115" s="313">
        <v>1817900910</v>
      </c>
      <c r="B1115" s="313" t="s">
        <v>704</v>
      </c>
      <c r="C1115" s="314">
        <v>84692</v>
      </c>
      <c r="D1115" s="313" t="e">
        <f>VLOOKUP(A1115,#REF!,4,FALSE)</f>
        <v>#REF!</v>
      </c>
      <c r="E1115" s="315" t="e">
        <f t="shared" si="17"/>
        <v>#REF!</v>
      </c>
    </row>
    <row r="1116" spans="1:5" x14ac:dyDescent="0.2">
      <c r="A1116" s="313">
        <v>1817922780</v>
      </c>
      <c r="B1116" s="313" t="s">
        <v>998</v>
      </c>
      <c r="C1116" s="314">
        <v>26271</v>
      </c>
      <c r="D1116" s="313" t="e">
        <f>VLOOKUP(A1116,#REF!,4,FALSE)</f>
        <v>#REF!</v>
      </c>
      <c r="E1116" s="315" t="e">
        <f t="shared" si="17"/>
        <v>#REF!</v>
      </c>
    </row>
    <row r="1117" spans="1:5" x14ac:dyDescent="0.2">
      <c r="A1117" s="313">
        <v>1817950430</v>
      </c>
      <c r="B1117" s="313" t="s">
        <v>999</v>
      </c>
      <c r="C1117" s="314">
        <v>42000</v>
      </c>
      <c r="D1117" s="313" t="e">
        <f>VLOOKUP(A1117,#REF!,4,FALSE)</f>
        <v>#REF!</v>
      </c>
      <c r="E1117" s="315" t="e">
        <f t="shared" si="17"/>
        <v>#REF!</v>
      </c>
    </row>
    <row r="1118" spans="1:5" x14ac:dyDescent="0.2">
      <c r="A1118" s="313">
        <v>1817950540</v>
      </c>
      <c r="B1118" s="313" t="s">
        <v>1000</v>
      </c>
      <c r="C1118" s="314">
        <v>29744</v>
      </c>
      <c r="D1118" s="313" t="e">
        <f>VLOOKUP(A1118,#REF!,4,FALSE)</f>
        <v>#REF!</v>
      </c>
      <c r="E1118" s="315" t="e">
        <f t="shared" si="17"/>
        <v>#REF!</v>
      </c>
    </row>
    <row r="1119" spans="1:5" x14ac:dyDescent="0.2">
      <c r="A1119" s="313">
        <v>1817950750</v>
      </c>
      <c r="B1119" s="313" t="s">
        <v>1001</v>
      </c>
      <c r="C1119" s="314">
        <v>75000</v>
      </c>
      <c r="D1119" s="313" t="e">
        <f>VLOOKUP(A1119,#REF!,4,FALSE)</f>
        <v>#REF!</v>
      </c>
      <c r="E1119" s="315" t="e">
        <f t="shared" si="17"/>
        <v>#REF!</v>
      </c>
    </row>
    <row r="1120" spans="1:5" x14ac:dyDescent="0.2">
      <c r="A1120" s="313">
        <v>1817950780</v>
      </c>
      <c r="B1120" s="313" t="s">
        <v>172</v>
      </c>
      <c r="D1120" s="313" t="e">
        <f>VLOOKUP(A1120,#REF!,4,FALSE)</f>
        <v>#REF!</v>
      </c>
      <c r="E1120" s="315" t="e">
        <f t="shared" si="17"/>
        <v>#REF!</v>
      </c>
    </row>
    <row r="1121" spans="1:5" x14ac:dyDescent="0.2">
      <c r="A1121" s="313">
        <v>1817950980</v>
      </c>
      <c r="B1121" s="313" t="s">
        <v>1002</v>
      </c>
      <c r="C1121" s="314">
        <v>199289</v>
      </c>
      <c r="D1121" s="313" t="e">
        <f>VLOOKUP(A1121,#REF!,4,FALSE)</f>
        <v>#REF!</v>
      </c>
      <c r="E1121" s="315" t="e">
        <f t="shared" si="17"/>
        <v>#REF!</v>
      </c>
    </row>
    <row r="1122" spans="1:5" x14ac:dyDescent="0.2">
      <c r="A1122" s="313">
        <v>1817960430</v>
      </c>
      <c r="B1122" s="313" t="s">
        <v>1003</v>
      </c>
      <c r="C1122" s="314">
        <v>11000</v>
      </c>
      <c r="D1122" s="313" t="e">
        <f>VLOOKUP(A1122,#REF!,4,FALSE)</f>
        <v>#REF!</v>
      </c>
      <c r="E1122" s="315" t="e">
        <f t="shared" si="17"/>
        <v>#REF!</v>
      </c>
    </row>
    <row r="1123" spans="1:5" x14ac:dyDescent="0.2">
      <c r="A1123" s="313">
        <v>1817960540</v>
      </c>
      <c r="B1123" s="313" t="s">
        <v>1004</v>
      </c>
      <c r="C1123" s="314">
        <v>500</v>
      </c>
      <c r="D1123" s="313" t="e">
        <f>VLOOKUP(A1123,#REF!,4,FALSE)</f>
        <v>#REF!</v>
      </c>
      <c r="E1123" s="315" t="e">
        <f t="shared" si="17"/>
        <v>#REF!</v>
      </c>
    </row>
    <row r="1124" spans="1:5" x14ac:dyDescent="0.2">
      <c r="A1124" s="313">
        <v>1817960780</v>
      </c>
      <c r="B1124" s="313" t="s">
        <v>1005</v>
      </c>
      <c r="C1124" s="314">
        <v>4000</v>
      </c>
      <c r="D1124" s="313" t="e">
        <f>VLOOKUP(A1124,#REF!,4,FALSE)</f>
        <v>#REF!</v>
      </c>
      <c r="E1124" s="315" t="e">
        <f t="shared" si="17"/>
        <v>#REF!</v>
      </c>
    </row>
    <row r="1125" spans="1:5" x14ac:dyDescent="0.2">
      <c r="A1125" s="313">
        <v>1817960781</v>
      </c>
      <c r="B1125" s="313" t="s">
        <v>1006</v>
      </c>
      <c r="C1125" s="314">
        <v>55000</v>
      </c>
      <c r="D1125" s="313" t="e">
        <f>VLOOKUP(A1125,#REF!,4,FALSE)</f>
        <v>#REF!</v>
      </c>
      <c r="E1125" s="315" t="e">
        <f t="shared" si="17"/>
        <v>#REF!</v>
      </c>
    </row>
    <row r="1126" spans="1:5" x14ac:dyDescent="0.2">
      <c r="A1126" s="313">
        <v>1819999780</v>
      </c>
      <c r="B1126" s="313" t="s">
        <v>1007</v>
      </c>
      <c r="C1126" s="314">
        <v>30000</v>
      </c>
      <c r="D1126" s="313" t="e">
        <f>VLOOKUP(A1126,#REF!,4,FALSE)</f>
        <v>#REF!</v>
      </c>
      <c r="E1126" s="315" t="e">
        <f t="shared" si="17"/>
        <v>#REF!</v>
      </c>
    </row>
    <row r="1127" spans="1:5" x14ac:dyDescent="0.2">
      <c r="A1127" s="313">
        <v>1819999999</v>
      </c>
      <c r="B1127" s="313" t="s">
        <v>173</v>
      </c>
      <c r="D1127" s="313" t="e">
        <f>VLOOKUP(A1127,#REF!,4,FALSE)</f>
        <v>#REF!</v>
      </c>
      <c r="E1127" s="315" t="e">
        <f t="shared" si="17"/>
        <v>#REF!</v>
      </c>
    </row>
    <row r="1128" spans="1:5" x14ac:dyDescent="0.2">
      <c r="A1128" s="313" t="s">
        <v>277</v>
      </c>
      <c r="B1128" s="313" t="s">
        <v>955</v>
      </c>
      <c r="C1128" s="314">
        <v>80669957</v>
      </c>
      <c r="D1128" s="313" t="e">
        <f>VLOOKUP(A1128,#REF!,4,FALSE)</f>
        <v>#REF!</v>
      </c>
      <c r="E1128" s="315" t="e">
        <f t="shared" si="17"/>
        <v>#REF!</v>
      </c>
    </row>
    <row r="1129" spans="1:5" x14ac:dyDescent="0.2">
      <c r="A1129" s="313" t="s">
        <v>277</v>
      </c>
      <c r="B1129" s="313" t="s">
        <v>916</v>
      </c>
      <c r="C1129" s="314">
        <v>117358748</v>
      </c>
      <c r="D1129" s="313" t="e">
        <f>VLOOKUP(A1129,#REF!,4,FALSE)</f>
        <v>#REF!</v>
      </c>
      <c r="E1129" s="315" t="e">
        <f t="shared" si="17"/>
        <v>#REF!</v>
      </c>
    </row>
    <row r="1130" spans="1:5" x14ac:dyDescent="0.2">
      <c r="A1130" s="313" t="s">
        <v>281</v>
      </c>
      <c r="B1130" s="313" t="s">
        <v>1008</v>
      </c>
      <c r="D1130" s="313" t="e">
        <f>VLOOKUP(A1130,#REF!,4,FALSE)</f>
        <v>#REF!</v>
      </c>
      <c r="E1130" s="315" t="e">
        <f t="shared" si="17"/>
        <v>#REF!</v>
      </c>
    </row>
    <row r="1131" spans="1:5" x14ac:dyDescent="0.2">
      <c r="A1131" s="313" t="s">
        <v>1009</v>
      </c>
      <c r="B1131" s="313" t="s">
        <v>1010</v>
      </c>
      <c r="D1131" s="313" t="e">
        <f>VLOOKUP(A1131,#REF!,4,FALSE)</f>
        <v>#REF!</v>
      </c>
      <c r="E1131" s="315" t="e">
        <f t="shared" si="17"/>
        <v>#REF!</v>
      </c>
    </row>
    <row r="1132" spans="1:5" x14ac:dyDescent="0.2">
      <c r="A1132" s="313">
        <v>1841000110</v>
      </c>
      <c r="B1132" s="313" t="s">
        <v>401</v>
      </c>
      <c r="C1132" s="314">
        <v>8530220</v>
      </c>
      <c r="D1132" s="313" t="e">
        <f>VLOOKUP(A1132,#REF!,4,FALSE)</f>
        <v>#REF!</v>
      </c>
      <c r="E1132" s="315" t="e">
        <f t="shared" si="17"/>
        <v>#REF!</v>
      </c>
    </row>
    <row r="1133" spans="1:5" x14ac:dyDescent="0.2">
      <c r="A1133" s="313">
        <v>1841000210</v>
      </c>
      <c r="B1133" s="313" t="s">
        <v>1011</v>
      </c>
      <c r="C1133" s="314">
        <v>150084</v>
      </c>
      <c r="D1133" s="313" t="e">
        <f>VLOOKUP(A1133,#REF!,4,FALSE)</f>
        <v>#REF!</v>
      </c>
      <c r="E1133" s="315" t="e">
        <f t="shared" si="17"/>
        <v>#REF!</v>
      </c>
    </row>
    <row r="1134" spans="1:5" x14ac:dyDescent="0.2">
      <c r="A1134" s="313">
        <v>1842400110</v>
      </c>
      <c r="B1134" s="313" t="s">
        <v>1653</v>
      </c>
      <c r="C1134" s="314">
        <v>120000</v>
      </c>
      <c r="D1134" s="313" t="e">
        <f>VLOOKUP(A1134,#REF!,4,FALSE)</f>
        <v>#REF!</v>
      </c>
      <c r="E1134" s="315" t="e">
        <f t="shared" si="17"/>
        <v>#REF!</v>
      </c>
    </row>
    <row r="1135" spans="1:5" x14ac:dyDescent="0.2">
      <c r="A1135" s="313">
        <v>1842410110</v>
      </c>
      <c r="B1135" s="313" t="s">
        <v>1906</v>
      </c>
      <c r="C1135" s="314">
        <v>228123</v>
      </c>
      <c r="D1135" s="313" t="e">
        <f>VLOOKUP(A1135,#REF!,4,FALSE)</f>
        <v>#REF!</v>
      </c>
      <c r="E1135" s="315" t="e">
        <f t="shared" si="17"/>
        <v>#REF!</v>
      </c>
    </row>
    <row r="1136" spans="1:5" x14ac:dyDescent="0.2">
      <c r="A1136" s="313">
        <v>1843500210</v>
      </c>
      <c r="B1136" s="313" t="s">
        <v>1483</v>
      </c>
      <c r="C1136" s="314">
        <v>160005</v>
      </c>
      <c r="D1136" s="313" t="e">
        <f>VLOOKUP(A1136,#REF!,4,FALSE)</f>
        <v>#REF!</v>
      </c>
      <c r="E1136" s="315" t="e">
        <f t="shared" si="17"/>
        <v>#REF!</v>
      </c>
    </row>
    <row r="1137" spans="1:5" x14ac:dyDescent="0.2">
      <c r="A1137" s="313">
        <v>1843510110</v>
      </c>
      <c r="B1137" s="313" t="s">
        <v>1659</v>
      </c>
      <c r="C1137" s="314">
        <v>174214</v>
      </c>
      <c r="D1137" s="313" t="e">
        <f>VLOOKUP(A1137,#REF!,4,FALSE)</f>
        <v>#REF!</v>
      </c>
      <c r="E1137" s="315" t="e">
        <f t="shared" si="17"/>
        <v>#REF!</v>
      </c>
    </row>
    <row r="1138" spans="1:5" x14ac:dyDescent="0.2">
      <c r="A1138" s="313">
        <v>1843800110</v>
      </c>
      <c r="B1138" s="313" t="s">
        <v>1658</v>
      </c>
      <c r="C1138" s="314">
        <v>262421</v>
      </c>
      <c r="D1138" s="313" t="e">
        <f>VLOOKUP(A1138,#REF!,4,FALSE)</f>
        <v>#REF!</v>
      </c>
      <c r="E1138" s="315" t="e">
        <f t="shared" si="17"/>
        <v>#REF!</v>
      </c>
    </row>
    <row r="1139" spans="1:5" x14ac:dyDescent="0.2">
      <c r="A1139" s="313">
        <v>1845200110</v>
      </c>
      <c r="B1139" s="313" t="s">
        <v>1013</v>
      </c>
      <c r="C1139" s="314">
        <v>354670</v>
      </c>
      <c r="D1139" s="313" t="e">
        <f>VLOOKUP(A1139,#REF!,4,FALSE)</f>
        <v>#REF!</v>
      </c>
      <c r="E1139" s="315" t="e">
        <f t="shared" si="17"/>
        <v>#REF!</v>
      </c>
    </row>
    <row r="1140" spans="1:5" x14ac:dyDescent="0.2">
      <c r="A1140" s="313">
        <v>1845200210</v>
      </c>
      <c r="B1140" s="313" t="s">
        <v>1014</v>
      </c>
      <c r="C1140" s="314">
        <v>91522</v>
      </c>
      <c r="D1140" s="313" t="e">
        <f>VLOOKUP(A1140,#REF!,4,FALSE)</f>
        <v>#REF!</v>
      </c>
      <c r="E1140" s="315" t="e">
        <f t="shared" si="17"/>
        <v>#REF!</v>
      </c>
    </row>
    <row r="1141" spans="1:5" x14ac:dyDescent="0.2">
      <c r="A1141" s="313">
        <v>1846700210</v>
      </c>
      <c r="B1141" s="313" t="s">
        <v>1657</v>
      </c>
      <c r="C1141" s="314">
        <v>130000</v>
      </c>
      <c r="D1141" s="313" t="e">
        <f>VLOOKUP(A1141,#REF!,4,FALSE)</f>
        <v>#REF!</v>
      </c>
      <c r="E1141" s="315" t="e">
        <f t="shared" si="17"/>
        <v>#REF!</v>
      </c>
    </row>
    <row r="1142" spans="1:5" x14ac:dyDescent="0.2">
      <c r="A1142" s="313">
        <v>1847100110</v>
      </c>
      <c r="B1142" s="313" t="s">
        <v>1655</v>
      </c>
      <c r="C1142" s="314">
        <v>237571</v>
      </c>
      <c r="D1142" s="313" t="e">
        <f>VLOOKUP(A1142,#REF!,4,FALSE)</f>
        <v>#REF!</v>
      </c>
      <c r="E1142" s="315" t="e">
        <f t="shared" si="17"/>
        <v>#REF!</v>
      </c>
    </row>
    <row r="1143" spans="1:5" x14ac:dyDescent="0.2">
      <c r="A1143" s="313">
        <v>1847100210</v>
      </c>
      <c r="B1143" s="313" t="s">
        <v>1939</v>
      </c>
      <c r="C1143" s="314">
        <v>90059</v>
      </c>
      <c r="D1143" s="313" t="e">
        <f>VLOOKUP(A1143,#REF!,4,FALSE)</f>
        <v>#REF!</v>
      </c>
      <c r="E1143" s="315" t="e">
        <f t="shared" si="17"/>
        <v>#REF!</v>
      </c>
    </row>
    <row r="1144" spans="1:5" x14ac:dyDescent="0.2">
      <c r="A1144" s="313">
        <v>1847110110</v>
      </c>
      <c r="B1144" s="313" t="s">
        <v>2063</v>
      </c>
      <c r="D1144" s="313" t="e">
        <f>VLOOKUP(A1144,#REF!,4,FALSE)</f>
        <v>#REF!</v>
      </c>
      <c r="E1144" s="315" t="e">
        <f t="shared" si="17"/>
        <v>#REF!</v>
      </c>
    </row>
    <row r="1145" spans="1:5" x14ac:dyDescent="0.2">
      <c r="A1145" s="313">
        <v>1847401110</v>
      </c>
      <c r="B1145" s="313" t="s">
        <v>1015</v>
      </c>
      <c r="C1145" s="314">
        <v>264380</v>
      </c>
      <c r="D1145" s="313" t="e">
        <f>VLOOKUP(A1145,#REF!,4,FALSE)</f>
        <v>#REF!</v>
      </c>
      <c r="E1145" s="315" t="e">
        <f t="shared" si="17"/>
        <v>#REF!</v>
      </c>
    </row>
    <row r="1146" spans="1:5" x14ac:dyDescent="0.2">
      <c r="A1146" s="313">
        <v>1847402110</v>
      </c>
      <c r="B1146" s="313" t="s">
        <v>1016</v>
      </c>
      <c r="C1146" s="314">
        <v>184812</v>
      </c>
      <c r="D1146" s="313" t="e">
        <f>VLOOKUP(A1146,#REF!,4,FALSE)</f>
        <v>#REF!</v>
      </c>
      <c r="E1146" s="315" t="e">
        <f t="shared" si="17"/>
        <v>#REF!</v>
      </c>
    </row>
    <row r="1147" spans="1:5" x14ac:dyDescent="0.2">
      <c r="A1147" s="313">
        <v>1847404110</v>
      </c>
      <c r="B1147" s="313" t="s">
        <v>1017</v>
      </c>
      <c r="C1147" s="314">
        <v>123709</v>
      </c>
      <c r="D1147" s="313" t="e">
        <f>VLOOKUP(A1147,#REF!,4,FALSE)</f>
        <v>#REF!</v>
      </c>
      <c r="E1147" s="315" t="e">
        <f t="shared" si="17"/>
        <v>#REF!</v>
      </c>
    </row>
    <row r="1148" spans="1:5" x14ac:dyDescent="0.2">
      <c r="A1148" s="313">
        <v>1847405110</v>
      </c>
      <c r="B1148" s="313" t="s">
        <v>1018</v>
      </c>
      <c r="D1148" s="313" t="e">
        <f>VLOOKUP(A1148,#REF!,4,FALSE)</f>
        <v>#REF!</v>
      </c>
      <c r="E1148" s="315" t="e">
        <f t="shared" si="17"/>
        <v>#REF!</v>
      </c>
    </row>
    <row r="1149" spans="1:5" x14ac:dyDescent="0.2">
      <c r="A1149" s="313">
        <v>1847411110</v>
      </c>
      <c r="B1149" s="313" t="s">
        <v>1019</v>
      </c>
      <c r="C1149" s="314">
        <v>112857</v>
      </c>
      <c r="D1149" s="313" t="e">
        <f>VLOOKUP(A1149,#REF!,4,FALSE)</f>
        <v>#REF!</v>
      </c>
      <c r="E1149" s="315" t="e">
        <f t="shared" si="17"/>
        <v>#REF!</v>
      </c>
    </row>
    <row r="1150" spans="1:5" x14ac:dyDescent="0.2">
      <c r="A1150" s="313">
        <v>1847411210</v>
      </c>
      <c r="B1150" s="313" t="s">
        <v>1477</v>
      </c>
      <c r="C1150" s="314">
        <v>36864</v>
      </c>
      <c r="D1150" s="313" t="e">
        <f>VLOOKUP(A1150,#REF!,4,FALSE)</f>
        <v>#REF!</v>
      </c>
      <c r="E1150" s="315" t="e">
        <f t="shared" si="17"/>
        <v>#REF!</v>
      </c>
    </row>
    <row r="1151" spans="1:5" x14ac:dyDescent="0.2">
      <c r="A1151" s="313">
        <v>1847428110</v>
      </c>
      <c r="B1151" s="313" t="s">
        <v>919</v>
      </c>
      <c r="C1151" s="314">
        <v>467250</v>
      </c>
      <c r="D1151" s="313" t="e">
        <f>VLOOKUP(A1151,#REF!,4,FALSE)</f>
        <v>#REF!</v>
      </c>
      <c r="E1151" s="315" t="e">
        <f t="shared" si="17"/>
        <v>#REF!</v>
      </c>
    </row>
    <row r="1152" spans="1:5" x14ac:dyDescent="0.2">
      <c r="A1152" s="313">
        <v>1848800110</v>
      </c>
      <c r="B1152" s="313" t="s">
        <v>523</v>
      </c>
      <c r="C1152" s="314">
        <v>1661102</v>
      </c>
      <c r="D1152" s="313" t="e">
        <f>VLOOKUP(A1152,#REF!,4,FALSE)</f>
        <v>#REF!</v>
      </c>
      <c r="E1152" s="315" t="e">
        <f t="shared" si="17"/>
        <v>#REF!</v>
      </c>
    </row>
    <row r="1153" spans="1:5" x14ac:dyDescent="0.2">
      <c r="A1153" s="313">
        <v>1848801210</v>
      </c>
      <c r="B1153" s="313" t="s">
        <v>1020</v>
      </c>
      <c r="D1153" s="313" t="e">
        <f>VLOOKUP(A1153,#REF!,4,FALSE)</f>
        <v>#REF!</v>
      </c>
      <c r="E1153" s="315" t="e">
        <f t="shared" si="17"/>
        <v>#REF!</v>
      </c>
    </row>
    <row r="1154" spans="1:5" x14ac:dyDescent="0.2">
      <c r="A1154" s="313" t="s">
        <v>277</v>
      </c>
      <c r="B1154" s="313" t="s">
        <v>1010</v>
      </c>
      <c r="C1154" s="314">
        <v>13379863</v>
      </c>
      <c r="D1154" s="313" t="e">
        <f>VLOOKUP(A1154,#REF!,4,FALSE)</f>
        <v>#REF!</v>
      </c>
      <c r="E1154" s="315" t="e">
        <f t="shared" si="17"/>
        <v>#REF!</v>
      </c>
    </row>
    <row r="1155" spans="1:5" x14ac:dyDescent="0.2">
      <c r="A1155" s="313" t="s">
        <v>1021</v>
      </c>
      <c r="B1155" s="313" t="s">
        <v>1022</v>
      </c>
      <c r="D1155" s="313" t="e">
        <f>VLOOKUP(A1155,#REF!,4,FALSE)</f>
        <v>#REF!</v>
      </c>
      <c r="E1155" s="315" t="e">
        <f t="shared" si="17"/>
        <v>#REF!</v>
      </c>
    </row>
    <row r="1156" spans="1:5" x14ac:dyDescent="0.2">
      <c r="A1156" s="313">
        <v>1840000910</v>
      </c>
      <c r="B1156" s="313" t="s">
        <v>741</v>
      </c>
      <c r="C1156" s="314">
        <v>203287</v>
      </c>
      <c r="D1156" s="313" t="e">
        <f>VLOOKUP(A1156,#REF!,4,FALSE)</f>
        <v>#REF!</v>
      </c>
      <c r="E1156" s="315" t="e">
        <f t="shared" si="17"/>
        <v>#REF!</v>
      </c>
    </row>
    <row r="1157" spans="1:5" x14ac:dyDescent="0.2">
      <c r="A1157" s="313">
        <v>1841000511</v>
      </c>
      <c r="B1157" s="313" t="s">
        <v>790</v>
      </c>
      <c r="C1157" s="314">
        <v>11000</v>
      </c>
      <c r="D1157" s="313" t="e">
        <f>VLOOKUP(A1157,#REF!,4,FALSE)</f>
        <v>#REF!</v>
      </c>
      <c r="E1157" s="315" t="e">
        <f t="shared" si="17"/>
        <v>#REF!</v>
      </c>
    </row>
    <row r="1158" spans="1:5" x14ac:dyDescent="0.2">
      <c r="A1158" s="313">
        <v>1841000512</v>
      </c>
      <c r="B1158" s="313" t="s">
        <v>183</v>
      </c>
      <c r="C1158" s="314">
        <v>502</v>
      </c>
      <c r="D1158" s="313" t="e">
        <f>VLOOKUP(A1158,#REF!,4,FALSE)</f>
        <v>#REF!</v>
      </c>
      <c r="E1158" s="315" t="e">
        <f t="shared" ref="E1158:E1221" si="18">C1158-D1158</f>
        <v>#REF!</v>
      </c>
    </row>
    <row r="1159" spans="1:5" x14ac:dyDescent="0.2">
      <c r="A1159" s="313">
        <v>1841000560</v>
      </c>
      <c r="B1159" s="313" t="s">
        <v>966</v>
      </c>
      <c r="C1159" s="314">
        <v>12600</v>
      </c>
      <c r="D1159" s="313" t="e">
        <f>VLOOKUP(A1159,#REF!,4,FALSE)</f>
        <v>#REF!</v>
      </c>
      <c r="E1159" s="315" t="e">
        <f t="shared" si="18"/>
        <v>#REF!</v>
      </c>
    </row>
    <row r="1160" spans="1:5" x14ac:dyDescent="0.2">
      <c r="A1160" s="313">
        <v>1841000570</v>
      </c>
      <c r="B1160" s="313" t="s">
        <v>1023</v>
      </c>
      <c r="C1160" s="314">
        <v>18144</v>
      </c>
      <c r="D1160" s="313" t="e">
        <f>VLOOKUP(A1160,#REF!,4,FALSE)</f>
        <v>#REF!</v>
      </c>
      <c r="E1160" s="315" t="e">
        <f t="shared" si="18"/>
        <v>#REF!</v>
      </c>
    </row>
    <row r="1161" spans="1:5" x14ac:dyDescent="0.2">
      <c r="A1161" s="313">
        <v>1841000571</v>
      </c>
      <c r="B1161" s="313" t="s">
        <v>590</v>
      </c>
      <c r="D1161" s="313" t="e">
        <f>VLOOKUP(A1161,#REF!,4,FALSE)</f>
        <v>#REF!</v>
      </c>
      <c r="E1161" s="315" t="e">
        <f t="shared" si="18"/>
        <v>#REF!</v>
      </c>
    </row>
    <row r="1162" spans="1:5" x14ac:dyDescent="0.2">
      <c r="A1162" s="313">
        <v>1841000580</v>
      </c>
      <c r="B1162" s="313" t="s">
        <v>835</v>
      </c>
      <c r="C1162" s="314">
        <v>64546</v>
      </c>
      <c r="D1162" s="313" t="e">
        <f>VLOOKUP(A1162,#REF!,4,FALSE)</f>
        <v>#REF!</v>
      </c>
      <c r="E1162" s="315" t="e">
        <f t="shared" si="18"/>
        <v>#REF!</v>
      </c>
    </row>
    <row r="1163" spans="1:5" x14ac:dyDescent="0.2">
      <c r="A1163" s="313">
        <v>1841000581</v>
      </c>
      <c r="B1163" s="313" t="s">
        <v>1905</v>
      </c>
      <c r="C1163" s="314">
        <v>9600</v>
      </c>
      <c r="D1163" s="313" t="e">
        <f>VLOOKUP(A1163,#REF!,4,FALSE)</f>
        <v>#REF!</v>
      </c>
      <c r="E1163" s="315" t="e">
        <f t="shared" si="18"/>
        <v>#REF!</v>
      </c>
    </row>
    <row r="1164" spans="1:5" x14ac:dyDescent="0.2">
      <c r="A1164" s="313">
        <v>1841000750</v>
      </c>
      <c r="B1164" s="313" t="s">
        <v>1024</v>
      </c>
      <c r="C1164" s="314">
        <v>7000</v>
      </c>
      <c r="D1164" s="313" t="e">
        <f>VLOOKUP(A1164,#REF!,4,FALSE)</f>
        <v>#REF!</v>
      </c>
      <c r="E1164" s="315" t="e">
        <f t="shared" si="18"/>
        <v>#REF!</v>
      </c>
    </row>
    <row r="1165" spans="1:5" x14ac:dyDescent="0.2">
      <c r="A1165" s="313">
        <v>1841000780</v>
      </c>
      <c r="B1165" s="313" t="s">
        <v>1046</v>
      </c>
      <c r="C1165" s="314">
        <v>312</v>
      </c>
      <c r="D1165" s="313" t="e">
        <f>VLOOKUP(A1165,#REF!,4,FALSE)</f>
        <v>#REF!</v>
      </c>
      <c r="E1165" s="315" t="e">
        <f t="shared" si="18"/>
        <v>#REF!</v>
      </c>
    </row>
    <row r="1166" spans="1:5" x14ac:dyDescent="0.2">
      <c r="A1166" s="313">
        <v>1841000843</v>
      </c>
      <c r="B1166" s="313" t="s">
        <v>402</v>
      </c>
      <c r="C1166" s="314">
        <v>0</v>
      </c>
      <c r="D1166" s="313" t="e">
        <f>VLOOKUP(A1166,#REF!,4,FALSE)</f>
        <v>#REF!</v>
      </c>
      <c r="E1166" s="315" t="e">
        <f t="shared" si="18"/>
        <v>#REF!</v>
      </c>
    </row>
    <row r="1167" spans="1:5" x14ac:dyDescent="0.2">
      <c r="A1167" s="313">
        <v>1841000846</v>
      </c>
      <c r="B1167" s="313" t="s">
        <v>404</v>
      </c>
      <c r="C1167" s="314">
        <v>10000</v>
      </c>
      <c r="D1167" s="313" t="e">
        <f>VLOOKUP(A1167,#REF!,4,FALSE)</f>
        <v>#REF!</v>
      </c>
      <c r="E1167" s="315" t="e">
        <f t="shared" si="18"/>
        <v>#REF!</v>
      </c>
    </row>
    <row r="1168" spans="1:5" x14ac:dyDescent="0.2">
      <c r="A1168" s="313">
        <v>1841000910</v>
      </c>
      <c r="B1168" s="313" t="s">
        <v>704</v>
      </c>
      <c r="C1168" s="314">
        <v>19134</v>
      </c>
      <c r="D1168" s="313" t="e">
        <f>VLOOKUP(A1168,#REF!,4,FALSE)</f>
        <v>#REF!</v>
      </c>
      <c r="E1168" s="315" t="e">
        <f t="shared" si="18"/>
        <v>#REF!</v>
      </c>
    </row>
    <row r="1169" spans="1:5" x14ac:dyDescent="0.2">
      <c r="A1169" s="313">
        <v>1841000980</v>
      </c>
      <c r="B1169" s="313" t="s">
        <v>652</v>
      </c>
      <c r="C1169" s="314">
        <v>200000</v>
      </c>
      <c r="D1169" s="313" t="e">
        <f>VLOOKUP(A1169,#REF!,4,FALSE)</f>
        <v>#REF!</v>
      </c>
      <c r="E1169" s="315" t="e">
        <f t="shared" si="18"/>
        <v>#REF!</v>
      </c>
    </row>
    <row r="1170" spans="1:5" x14ac:dyDescent="0.2">
      <c r="A1170" s="313">
        <v>1841000981</v>
      </c>
      <c r="B1170" s="313" t="s">
        <v>1463</v>
      </c>
      <c r="C1170" s="314">
        <v>450000</v>
      </c>
      <c r="D1170" s="313" t="e">
        <f>VLOOKUP(A1170,#REF!,4,FALSE)</f>
        <v>#REF!</v>
      </c>
      <c r="E1170" s="315" t="e">
        <f t="shared" si="18"/>
        <v>#REF!</v>
      </c>
    </row>
    <row r="1171" spans="1:5" x14ac:dyDescent="0.2">
      <c r="A1171" s="313">
        <v>1841000982</v>
      </c>
      <c r="B1171" s="313" t="s">
        <v>1486</v>
      </c>
      <c r="D1171" s="313" t="e">
        <f>VLOOKUP(A1171,#REF!,4,FALSE)</f>
        <v>#REF!</v>
      </c>
      <c r="E1171" s="315" t="e">
        <f t="shared" si="18"/>
        <v>#REF!</v>
      </c>
    </row>
    <row r="1172" spans="1:5" x14ac:dyDescent="0.2">
      <c r="A1172" s="313">
        <v>1841100750</v>
      </c>
      <c r="B1172" s="313" t="s">
        <v>714</v>
      </c>
      <c r="C1172" s="314">
        <v>30000</v>
      </c>
      <c r="D1172" s="313" t="e">
        <f>VLOOKUP(A1172,#REF!,4,FALSE)</f>
        <v>#REF!</v>
      </c>
      <c r="E1172" s="315" t="e">
        <f t="shared" si="18"/>
        <v>#REF!</v>
      </c>
    </row>
    <row r="1173" spans="1:5" x14ac:dyDescent="0.2">
      <c r="A1173" s="313">
        <v>1842200840</v>
      </c>
      <c r="B1173" s="313" t="s">
        <v>406</v>
      </c>
      <c r="C1173" s="314">
        <v>150000</v>
      </c>
      <c r="D1173" s="313" t="e">
        <f>VLOOKUP(A1173,#REF!,4,FALSE)</f>
        <v>#REF!</v>
      </c>
      <c r="E1173" s="315" t="e">
        <f t="shared" si="18"/>
        <v>#REF!</v>
      </c>
    </row>
    <row r="1174" spans="1:5" x14ac:dyDescent="0.2">
      <c r="A1174" s="313">
        <v>1842200843</v>
      </c>
      <c r="B1174" s="313" t="s">
        <v>407</v>
      </c>
      <c r="C1174" s="314">
        <v>160000</v>
      </c>
      <c r="D1174" s="313" t="e">
        <f>VLOOKUP(A1174,#REF!,4,FALSE)</f>
        <v>#REF!</v>
      </c>
      <c r="E1174" s="315" t="e">
        <f t="shared" si="18"/>
        <v>#REF!</v>
      </c>
    </row>
    <row r="1175" spans="1:5" x14ac:dyDescent="0.2">
      <c r="A1175" s="313">
        <v>1842200844</v>
      </c>
      <c r="B1175" s="313" t="s">
        <v>1026</v>
      </c>
      <c r="C1175" s="314">
        <v>27600</v>
      </c>
      <c r="D1175" s="313" t="e">
        <f>VLOOKUP(A1175,#REF!,4,FALSE)</f>
        <v>#REF!</v>
      </c>
      <c r="E1175" s="315" t="e">
        <f t="shared" si="18"/>
        <v>#REF!</v>
      </c>
    </row>
    <row r="1176" spans="1:5" x14ac:dyDescent="0.2">
      <c r="A1176" s="313">
        <v>1842200846</v>
      </c>
      <c r="B1176" s="313" t="s">
        <v>409</v>
      </c>
      <c r="C1176" s="314">
        <v>190168</v>
      </c>
      <c r="D1176" s="313" t="e">
        <f>VLOOKUP(A1176,#REF!,4,FALSE)</f>
        <v>#REF!</v>
      </c>
      <c r="E1176" s="315" t="e">
        <f t="shared" si="18"/>
        <v>#REF!</v>
      </c>
    </row>
    <row r="1177" spans="1:5" x14ac:dyDescent="0.2">
      <c r="A1177" s="313">
        <v>1842200847</v>
      </c>
      <c r="B1177" s="313" t="s">
        <v>1485</v>
      </c>
      <c r="D1177" s="313" t="e">
        <f>VLOOKUP(A1177,#REF!,4,FALSE)</f>
        <v>#REF!</v>
      </c>
      <c r="E1177" s="315" t="e">
        <f t="shared" si="18"/>
        <v>#REF!</v>
      </c>
    </row>
    <row r="1178" spans="1:5" x14ac:dyDescent="0.2">
      <c r="A1178" s="313">
        <v>1842400841</v>
      </c>
      <c r="B1178" s="313" t="s">
        <v>410</v>
      </c>
      <c r="C1178" s="314">
        <v>9600</v>
      </c>
      <c r="D1178" s="313" t="e">
        <f>VLOOKUP(A1178,#REF!,4,FALSE)</f>
        <v>#REF!</v>
      </c>
      <c r="E1178" s="315" t="e">
        <f t="shared" si="18"/>
        <v>#REF!</v>
      </c>
    </row>
    <row r="1179" spans="1:5" x14ac:dyDescent="0.2">
      <c r="A1179" s="313">
        <v>1842400844</v>
      </c>
      <c r="B1179" s="313" t="s">
        <v>1027</v>
      </c>
      <c r="C1179" s="314">
        <v>85000</v>
      </c>
      <c r="D1179" s="313" t="e">
        <f>VLOOKUP(A1179,#REF!,4,FALSE)</f>
        <v>#REF!</v>
      </c>
      <c r="E1179" s="315" t="e">
        <f t="shared" si="18"/>
        <v>#REF!</v>
      </c>
    </row>
    <row r="1180" spans="1:5" x14ac:dyDescent="0.2">
      <c r="A1180" s="313">
        <v>1842400845</v>
      </c>
      <c r="B1180" s="313" t="s">
        <v>411</v>
      </c>
      <c r="C1180" s="314">
        <v>123000</v>
      </c>
      <c r="D1180" s="313" t="e">
        <f>VLOOKUP(A1180,#REF!,4,FALSE)</f>
        <v>#REF!</v>
      </c>
      <c r="E1180" s="315" t="e">
        <f t="shared" si="18"/>
        <v>#REF!</v>
      </c>
    </row>
    <row r="1181" spans="1:5" x14ac:dyDescent="0.2">
      <c r="A1181" s="313">
        <v>1842400846</v>
      </c>
      <c r="B1181" s="313" t="s">
        <v>1408</v>
      </c>
      <c r="D1181" s="313" t="e">
        <f>VLOOKUP(A1181,#REF!,4,FALSE)</f>
        <v>#REF!</v>
      </c>
      <c r="E1181" s="315" t="e">
        <f t="shared" si="18"/>
        <v>#REF!</v>
      </c>
    </row>
    <row r="1182" spans="1:5" x14ac:dyDescent="0.2">
      <c r="A1182" s="313">
        <v>1842400847</v>
      </c>
      <c r="B1182" s="313" t="s">
        <v>1592</v>
      </c>
      <c r="D1182" s="313" t="e">
        <f>VLOOKUP(A1182,#REF!,4,FALSE)</f>
        <v>#REF!</v>
      </c>
      <c r="E1182" s="315" t="e">
        <f t="shared" si="18"/>
        <v>#REF!</v>
      </c>
    </row>
    <row r="1183" spans="1:5" x14ac:dyDescent="0.2">
      <c r="A1183" s="313">
        <v>1842401840</v>
      </c>
      <c r="B1183" s="313" t="s">
        <v>412</v>
      </c>
      <c r="C1183" s="314">
        <v>162000</v>
      </c>
      <c r="D1183" s="313" t="e">
        <f>VLOOKUP(A1183,#REF!,4,FALSE)</f>
        <v>#REF!</v>
      </c>
      <c r="E1183" s="315" t="e">
        <f t="shared" si="18"/>
        <v>#REF!</v>
      </c>
    </row>
    <row r="1184" spans="1:5" x14ac:dyDescent="0.2">
      <c r="A1184" s="313">
        <v>1842401841</v>
      </c>
      <c r="B1184" s="313" t="s">
        <v>1652</v>
      </c>
      <c r="C1184" s="314">
        <v>230000</v>
      </c>
      <c r="D1184" s="313" t="e">
        <f>VLOOKUP(A1184,#REF!,4,FALSE)</f>
        <v>#REF!</v>
      </c>
      <c r="E1184" s="315" t="e">
        <f t="shared" si="18"/>
        <v>#REF!</v>
      </c>
    </row>
    <row r="1185" spans="1:5" x14ac:dyDescent="0.2">
      <c r="A1185" s="313">
        <v>1843500840</v>
      </c>
      <c r="B1185" s="313" t="s">
        <v>85</v>
      </c>
      <c r="D1185" s="313" t="e">
        <f>VLOOKUP(A1185,#REF!,4,FALSE)</f>
        <v>#REF!</v>
      </c>
      <c r="E1185" s="315" t="e">
        <f t="shared" si="18"/>
        <v>#REF!</v>
      </c>
    </row>
    <row r="1186" spans="1:5" x14ac:dyDescent="0.2">
      <c r="A1186" s="313">
        <v>1843500841</v>
      </c>
      <c r="B1186" s="313" t="s">
        <v>413</v>
      </c>
      <c r="C1186" s="314">
        <v>285301</v>
      </c>
      <c r="D1186" s="313" t="e">
        <f>VLOOKUP(A1186,#REF!,4,FALSE)</f>
        <v>#REF!</v>
      </c>
      <c r="E1186" s="315" t="e">
        <f t="shared" si="18"/>
        <v>#REF!</v>
      </c>
    </row>
    <row r="1187" spans="1:5" x14ac:dyDescent="0.2">
      <c r="A1187" s="313">
        <v>1843500842</v>
      </c>
      <c r="B1187" s="313" t="s">
        <v>414</v>
      </c>
      <c r="C1187" s="314">
        <v>480000</v>
      </c>
      <c r="D1187" s="313" t="e">
        <f>VLOOKUP(A1187,#REF!,4,FALSE)</f>
        <v>#REF!</v>
      </c>
      <c r="E1187" s="315" t="e">
        <f t="shared" si="18"/>
        <v>#REF!</v>
      </c>
    </row>
    <row r="1188" spans="1:5" x14ac:dyDescent="0.2">
      <c r="A1188" s="313">
        <v>1843500844</v>
      </c>
      <c r="B1188" s="313" t="s">
        <v>415</v>
      </c>
      <c r="C1188" s="314">
        <v>90000</v>
      </c>
      <c r="D1188" s="313" t="e">
        <f>VLOOKUP(A1188,#REF!,4,FALSE)</f>
        <v>#REF!</v>
      </c>
      <c r="E1188" s="315" t="e">
        <f t="shared" si="18"/>
        <v>#REF!</v>
      </c>
    </row>
    <row r="1189" spans="1:5" x14ac:dyDescent="0.2">
      <c r="A1189" s="313">
        <v>1843500845</v>
      </c>
      <c r="B1189" s="313" t="s">
        <v>416</v>
      </c>
      <c r="C1189" s="314">
        <v>105000</v>
      </c>
      <c r="D1189" s="313" t="e">
        <f>VLOOKUP(A1189,#REF!,4,FALSE)</f>
        <v>#REF!</v>
      </c>
      <c r="E1189" s="315" t="e">
        <f t="shared" si="18"/>
        <v>#REF!</v>
      </c>
    </row>
    <row r="1190" spans="1:5" x14ac:dyDescent="0.2">
      <c r="A1190" s="313">
        <v>1843500847</v>
      </c>
      <c r="B1190" s="313" t="s">
        <v>417</v>
      </c>
      <c r="C1190" s="314">
        <v>20000</v>
      </c>
      <c r="D1190" s="313" t="e">
        <f>VLOOKUP(A1190,#REF!,4,FALSE)</f>
        <v>#REF!</v>
      </c>
      <c r="E1190" s="315" t="e">
        <f t="shared" si="18"/>
        <v>#REF!</v>
      </c>
    </row>
    <row r="1191" spans="1:5" x14ac:dyDescent="0.2">
      <c r="A1191" s="313">
        <v>1843500849</v>
      </c>
      <c r="B1191" s="313" t="s">
        <v>418</v>
      </c>
      <c r="C1191" s="314">
        <v>118000</v>
      </c>
      <c r="D1191" s="313" t="e">
        <f>VLOOKUP(A1191,#REF!,4,FALSE)</f>
        <v>#REF!</v>
      </c>
      <c r="E1191" s="315" t="e">
        <f t="shared" si="18"/>
        <v>#REF!</v>
      </c>
    </row>
    <row r="1192" spans="1:5" x14ac:dyDescent="0.2">
      <c r="A1192" s="313">
        <v>1843500850</v>
      </c>
      <c r="B1192" s="313" t="s">
        <v>58</v>
      </c>
      <c r="C1192" s="314">
        <v>5000</v>
      </c>
      <c r="D1192" s="313" t="e">
        <f>VLOOKUP(A1192,#REF!,4,FALSE)</f>
        <v>#REF!</v>
      </c>
      <c r="E1192" s="315" t="e">
        <f t="shared" si="18"/>
        <v>#REF!</v>
      </c>
    </row>
    <row r="1193" spans="1:5" x14ac:dyDescent="0.2">
      <c r="A1193" s="313">
        <v>1843500851</v>
      </c>
      <c r="B1193" s="313" t="s">
        <v>1593</v>
      </c>
      <c r="C1193" s="314">
        <v>5000</v>
      </c>
      <c r="D1193" s="313" t="e">
        <f>VLOOKUP(A1193,#REF!,4,FALSE)</f>
        <v>#REF!</v>
      </c>
      <c r="E1193" s="315" t="e">
        <f t="shared" si="18"/>
        <v>#REF!</v>
      </c>
    </row>
    <row r="1194" spans="1:5" x14ac:dyDescent="0.2">
      <c r="A1194" s="313">
        <v>1843800840</v>
      </c>
      <c r="B1194" s="313" t="s">
        <v>419</v>
      </c>
      <c r="C1194" s="314">
        <v>5221704</v>
      </c>
      <c r="D1194" s="313" t="e">
        <f>VLOOKUP(A1194,#REF!,4,FALSE)</f>
        <v>#REF!</v>
      </c>
      <c r="E1194" s="315" t="e">
        <f t="shared" si="18"/>
        <v>#REF!</v>
      </c>
    </row>
    <row r="1195" spans="1:5" x14ac:dyDescent="0.2">
      <c r="A1195" s="313">
        <v>1843800842</v>
      </c>
      <c r="B1195" s="313" t="s">
        <v>190</v>
      </c>
      <c r="D1195" s="313" t="e">
        <f>VLOOKUP(A1195,#REF!,4,FALSE)</f>
        <v>#REF!</v>
      </c>
      <c r="E1195" s="315" t="e">
        <f t="shared" si="18"/>
        <v>#REF!</v>
      </c>
    </row>
    <row r="1196" spans="1:5" x14ac:dyDescent="0.2">
      <c r="A1196" s="313">
        <v>1843800845</v>
      </c>
      <c r="B1196" s="313" t="s">
        <v>420</v>
      </c>
      <c r="C1196" s="314">
        <v>320000</v>
      </c>
      <c r="D1196" s="313" t="e">
        <f>VLOOKUP(A1196,#REF!,4,FALSE)</f>
        <v>#REF!</v>
      </c>
      <c r="E1196" s="315" t="e">
        <f t="shared" si="18"/>
        <v>#REF!</v>
      </c>
    </row>
    <row r="1197" spans="1:5" x14ac:dyDescent="0.2">
      <c r="A1197" s="313">
        <v>1843900840</v>
      </c>
      <c r="B1197" s="313" t="s">
        <v>421</v>
      </c>
      <c r="C1197" s="314">
        <v>3168000</v>
      </c>
      <c r="D1197" s="313" t="e">
        <f>VLOOKUP(A1197,#REF!,4,FALSE)</f>
        <v>#REF!</v>
      </c>
      <c r="E1197" s="315" t="e">
        <f t="shared" si="18"/>
        <v>#REF!</v>
      </c>
    </row>
    <row r="1198" spans="1:5" x14ac:dyDescent="0.2">
      <c r="A1198" s="313">
        <v>1844000430</v>
      </c>
      <c r="B1198" s="313" t="s">
        <v>1028</v>
      </c>
      <c r="C1198" s="314">
        <v>1752</v>
      </c>
      <c r="D1198" s="313" t="e">
        <f>VLOOKUP(A1198,#REF!,4,FALSE)</f>
        <v>#REF!</v>
      </c>
      <c r="E1198" s="315" t="e">
        <f t="shared" si="18"/>
        <v>#REF!</v>
      </c>
    </row>
    <row r="1199" spans="1:5" x14ac:dyDescent="0.2">
      <c r="A1199" s="313">
        <v>1844300840</v>
      </c>
      <c r="B1199" s="313" t="s">
        <v>300</v>
      </c>
      <c r="C1199" s="314">
        <v>5482662</v>
      </c>
      <c r="D1199" s="313" t="e">
        <f>VLOOKUP(A1199,#REF!,4,FALSE)</f>
        <v>#REF!</v>
      </c>
      <c r="E1199" s="315" t="e">
        <f t="shared" si="18"/>
        <v>#REF!</v>
      </c>
    </row>
    <row r="1200" spans="1:5" x14ac:dyDescent="0.2">
      <c r="A1200" s="313">
        <v>1844300842</v>
      </c>
      <c r="B1200" s="313" t="s">
        <v>59</v>
      </c>
      <c r="D1200" s="313" t="e">
        <f>VLOOKUP(A1200,#REF!,4,FALSE)</f>
        <v>#REF!</v>
      </c>
      <c r="E1200" s="315" t="e">
        <f t="shared" si="18"/>
        <v>#REF!</v>
      </c>
    </row>
    <row r="1201" spans="1:5" x14ac:dyDescent="0.2">
      <c r="A1201" s="313">
        <v>1844400780</v>
      </c>
      <c r="B1201" s="313" t="s">
        <v>1029</v>
      </c>
      <c r="C1201" s="314">
        <v>60000</v>
      </c>
      <c r="D1201" s="313" t="e">
        <f>VLOOKUP(A1201,#REF!,4,FALSE)</f>
        <v>#REF!</v>
      </c>
      <c r="E1201" s="315" t="e">
        <f t="shared" si="18"/>
        <v>#REF!</v>
      </c>
    </row>
    <row r="1202" spans="1:5" x14ac:dyDescent="0.2">
      <c r="A1202" s="313">
        <v>1844400840</v>
      </c>
      <c r="B1202" s="313" t="s">
        <v>1482</v>
      </c>
      <c r="C1202" s="314">
        <v>80000</v>
      </c>
      <c r="D1202" s="313" t="e">
        <f>VLOOKUP(A1202,#REF!,4,FALSE)</f>
        <v>#REF!</v>
      </c>
      <c r="E1202" s="315" t="e">
        <f t="shared" si="18"/>
        <v>#REF!</v>
      </c>
    </row>
    <row r="1203" spans="1:5" x14ac:dyDescent="0.2">
      <c r="A1203" s="313">
        <v>1844400841</v>
      </c>
      <c r="B1203" s="313" t="s">
        <v>422</v>
      </c>
      <c r="C1203" s="314">
        <v>100000</v>
      </c>
      <c r="D1203" s="313" t="e">
        <f>VLOOKUP(A1203,#REF!,4,FALSE)</f>
        <v>#REF!</v>
      </c>
      <c r="E1203" s="315" t="e">
        <f t="shared" si="18"/>
        <v>#REF!</v>
      </c>
    </row>
    <row r="1204" spans="1:5" x14ac:dyDescent="0.2">
      <c r="A1204" s="313">
        <v>1844400842</v>
      </c>
      <c r="B1204" s="313" t="s">
        <v>423</v>
      </c>
      <c r="C1204" s="314">
        <v>190000</v>
      </c>
      <c r="D1204" s="313" t="e">
        <f>VLOOKUP(A1204,#REF!,4,FALSE)</f>
        <v>#REF!</v>
      </c>
      <c r="E1204" s="315" t="e">
        <f t="shared" si="18"/>
        <v>#REF!</v>
      </c>
    </row>
    <row r="1205" spans="1:5" x14ac:dyDescent="0.2">
      <c r="A1205" s="313">
        <v>1844400843</v>
      </c>
      <c r="B1205" s="313" t="s">
        <v>1194</v>
      </c>
      <c r="D1205" s="313" t="e">
        <f>VLOOKUP(A1205,#REF!,4,FALSE)</f>
        <v>#REF!</v>
      </c>
      <c r="E1205" s="315" t="e">
        <f t="shared" si="18"/>
        <v>#REF!</v>
      </c>
    </row>
    <row r="1206" spans="1:5" x14ac:dyDescent="0.2">
      <c r="A1206" s="313">
        <v>1844400844</v>
      </c>
      <c r="B1206" s="313" t="s">
        <v>193</v>
      </c>
      <c r="D1206" s="313" t="e">
        <f>VLOOKUP(A1206,#REF!,4,FALSE)</f>
        <v>#REF!</v>
      </c>
      <c r="E1206" s="315" t="e">
        <f t="shared" si="18"/>
        <v>#REF!</v>
      </c>
    </row>
    <row r="1207" spans="1:5" x14ac:dyDescent="0.2">
      <c r="A1207" s="313">
        <v>1844400845</v>
      </c>
      <c r="B1207" s="313" t="s">
        <v>425</v>
      </c>
      <c r="C1207" s="314">
        <v>30000</v>
      </c>
      <c r="D1207" s="313" t="e">
        <f>VLOOKUP(A1207,#REF!,4,FALSE)</f>
        <v>#REF!</v>
      </c>
      <c r="E1207" s="315" t="e">
        <f t="shared" si="18"/>
        <v>#REF!</v>
      </c>
    </row>
    <row r="1208" spans="1:5" x14ac:dyDescent="0.2">
      <c r="A1208" s="313">
        <v>1844400846</v>
      </c>
      <c r="B1208" s="313" t="s">
        <v>60</v>
      </c>
      <c r="D1208" s="313" t="e">
        <f>VLOOKUP(A1208,#REF!,4,FALSE)</f>
        <v>#REF!</v>
      </c>
      <c r="E1208" s="315" t="e">
        <f t="shared" si="18"/>
        <v>#REF!</v>
      </c>
    </row>
    <row r="1209" spans="1:5" x14ac:dyDescent="0.2">
      <c r="A1209" s="313">
        <v>1844400849</v>
      </c>
      <c r="B1209" s="313" t="s">
        <v>426</v>
      </c>
      <c r="C1209" s="314">
        <v>288000</v>
      </c>
      <c r="D1209" s="313" t="e">
        <f>VLOOKUP(A1209,#REF!,4,FALSE)</f>
        <v>#REF!</v>
      </c>
      <c r="E1209" s="315" t="e">
        <f t="shared" si="18"/>
        <v>#REF!</v>
      </c>
    </row>
    <row r="1210" spans="1:5" x14ac:dyDescent="0.2">
      <c r="A1210" s="313">
        <v>1844400852</v>
      </c>
      <c r="B1210" s="313" t="s">
        <v>1722</v>
      </c>
      <c r="D1210" s="313" t="e">
        <f>VLOOKUP(A1210,#REF!,4,FALSE)</f>
        <v>#REF!</v>
      </c>
      <c r="E1210" s="315" t="e">
        <f t="shared" si="18"/>
        <v>#REF!</v>
      </c>
    </row>
    <row r="1211" spans="1:5" x14ac:dyDescent="0.2">
      <c r="A1211" s="313">
        <v>1844400853</v>
      </c>
      <c r="B1211" s="313" t="s">
        <v>1994</v>
      </c>
      <c r="D1211" s="313" t="e">
        <f>VLOOKUP(A1211,#REF!,4,FALSE)</f>
        <v>#REF!</v>
      </c>
      <c r="E1211" s="315" t="e">
        <f t="shared" si="18"/>
        <v>#REF!</v>
      </c>
    </row>
    <row r="1212" spans="1:5" x14ac:dyDescent="0.2">
      <c r="A1212" s="313">
        <v>1844500840</v>
      </c>
      <c r="B1212" s="313" t="s">
        <v>427</v>
      </c>
      <c r="C1212" s="314">
        <v>674100</v>
      </c>
      <c r="D1212" s="313" t="e">
        <f>VLOOKUP(A1212,#REF!,4,FALSE)</f>
        <v>#REF!</v>
      </c>
      <c r="E1212" s="315" t="e">
        <f t="shared" si="18"/>
        <v>#REF!</v>
      </c>
    </row>
    <row r="1213" spans="1:5" x14ac:dyDescent="0.2">
      <c r="A1213" s="313">
        <v>1844500843</v>
      </c>
      <c r="B1213" s="313" t="s">
        <v>1650</v>
      </c>
      <c r="C1213" s="314">
        <v>250000</v>
      </c>
      <c r="D1213" s="313" t="e">
        <f>VLOOKUP(A1213,#REF!,4,FALSE)</f>
        <v>#REF!</v>
      </c>
      <c r="E1213" s="315" t="e">
        <f t="shared" si="18"/>
        <v>#REF!</v>
      </c>
    </row>
    <row r="1214" spans="1:5" x14ac:dyDescent="0.2">
      <c r="A1214" s="313">
        <v>1844500845</v>
      </c>
      <c r="B1214" s="313" t="s">
        <v>1649</v>
      </c>
      <c r="C1214" s="314">
        <v>252000</v>
      </c>
      <c r="D1214" s="313" t="e">
        <f>VLOOKUP(A1214,#REF!,4,FALSE)</f>
        <v>#REF!</v>
      </c>
      <c r="E1214" s="315" t="e">
        <f t="shared" si="18"/>
        <v>#REF!</v>
      </c>
    </row>
    <row r="1215" spans="1:5" x14ac:dyDescent="0.2">
      <c r="A1215" s="313">
        <v>1845100842</v>
      </c>
      <c r="B1215" s="313" t="s">
        <v>431</v>
      </c>
      <c r="C1215" s="314">
        <v>1004220</v>
      </c>
      <c r="D1215" s="313" t="e">
        <f>VLOOKUP(A1215,#REF!,4,FALSE)</f>
        <v>#REF!</v>
      </c>
      <c r="E1215" s="315" t="e">
        <f t="shared" si="18"/>
        <v>#REF!</v>
      </c>
    </row>
    <row r="1216" spans="1:5" x14ac:dyDescent="0.2">
      <c r="A1216" s="313">
        <v>1845100843</v>
      </c>
      <c r="B1216" s="313" t="s">
        <v>432</v>
      </c>
      <c r="C1216" s="314">
        <v>49920</v>
      </c>
      <c r="D1216" s="313" t="e">
        <f>VLOOKUP(A1216,#REF!,4,FALSE)</f>
        <v>#REF!</v>
      </c>
      <c r="E1216" s="315" t="e">
        <f t="shared" si="18"/>
        <v>#REF!</v>
      </c>
    </row>
    <row r="1217" spans="1:5" x14ac:dyDescent="0.2">
      <c r="A1217" s="313">
        <v>1845100844</v>
      </c>
      <c r="B1217" s="313" t="s">
        <v>1196</v>
      </c>
      <c r="C1217" s="314">
        <v>16000</v>
      </c>
      <c r="D1217" s="313" t="e">
        <f>VLOOKUP(A1217,#REF!,4,FALSE)</f>
        <v>#REF!</v>
      </c>
      <c r="E1217" s="315" t="e">
        <f t="shared" si="18"/>
        <v>#REF!</v>
      </c>
    </row>
    <row r="1218" spans="1:5" x14ac:dyDescent="0.2">
      <c r="A1218" s="313">
        <v>1845100845</v>
      </c>
      <c r="B1218" s="313" t="s">
        <v>433</v>
      </c>
      <c r="C1218" s="314">
        <v>28253</v>
      </c>
      <c r="D1218" s="313" t="e">
        <f>VLOOKUP(A1218,#REF!,4,FALSE)</f>
        <v>#REF!</v>
      </c>
      <c r="E1218" s="315" t="e">
        <f t="shared" si="18"/>
        <v>#REF!</v>
      </c>
    </row>
    <row r="1219" spans="1:5" x14ac:dyDescent="0.2">
      <c r="A1219" s="313">
        <v>1845100846</v>
      </c>
      <c r="B1219" s="313" t="s">
        <v>434</v>
      </c>
      <c r="C1219" s="314">
        <v>300480</v>
      </c>
      <c r="D1219" s="313" t="e">
        <f>VLOOKUP(A1219,#REF!,4,FALSE)</f>
        <v>#REF!</v>
      </c>
      <c r="E1219" s="315" t="e">
        <f t="shared" si="18"/>
        <v>#REF!</v>
      </c>
    </row>
    <row r="1220" spans="1:5" x14ac:dyDescent="0.2">
      <c r="A1220" s="313">
        <v>1845100848</v>
      </c>
      <c r="B1220" s="313" t="s">
        <v>1412</v>
      </c>
      <c r="C1220" s="314">
        <v>51600</v>
      </c>
      <c r="D1220" s="313" t="e">
        <f>VLOOKUP(A1220,#REF!,4,FALSE)</f>
        <v>#REF!</v>
      </c>
      <c r="E1220" s="315" t="e">
        <f t="shared" si="18"/>
        <v>#REF!</v>
      </c>
    </row>
    <row r="1221" spans="1:5" x14ac:dyDescent="0.2">
      <c r="A1221" s="313">
        <v>1845100849</v>
      </c>
      <c r="B1221" s="313" t="s">
        <v>1413</v>
      </c>
      <c r="C1221" s="314">
        <v>48000</v>
      </c>
      <c r="D1221" s="313" t="e">
        <f>VLOOKUP(A1221,#REF!,4,FALSE)</f>
        <v>#REF!</v>
      </c>
      <c r="E1221" s="315" t="e">
        <f t="shared" si="18"/>
        <v>#REF!</v>
      </c>
    </row>
    <row r="1222" spans="1:5" x14ac:dyDescent="0.2">
      <c r="A1222" s="313">
        <v>1845100850</v>
      </c>
      <c r="B1222" s="313" t="s">
        <v>61</v>
      </c>
      <c r="C1222" s="314">
        <v>12496800</v>
      </c>
      <c r="D1222" s="313" t="e">
        <f>VLOOKUP(A1222,#REF!,4,FALSE)</f>
        <v>#REF!</v>
      </c>
      <c r="E1222" s="315" t="e">
        <f t="shared" ref="E1222:E1285" si="19">C1222-D1222</f>
        <v>#REF!</v>
      </c>
    </row>
    <row r="1223" spans="1:5" x14ac:dyDescent="0.2">
      <c r="A1223" s="313">
        <v>1845100851</v>
      </c>
      <c r="B1223" s="313" t="s">
        <v>86</v>
      </c>
      <c r="C1223" s="314">
        <v>3192000</v>
      </c>
      <c r="D1223" s="313" t="e">
        <f>VLOOKUP(A1223,#REF!,4,FALSE)</f>
        <v>#REF!</v>
      </c>
      <c r="E1223" s="315" t="e">
        <f t="shared" si="19"/>
        <v>#REF!</v>
      </c>
    </row>
    <row r="1224" spans="1:5" x14ac:dyDescent="0.2">
      <c r="A1224" s="313">
        <v>1845100852</v>
      </c>
      <c r="B1224" s="313" t="s">
        <v>1480</v>
      </c>
      <c r="C1224" s="314">
        <v>153792</v>
      </c>
      <c r="D1224" s="313" t="e">
        <f>VLOOKUP(A1224,#REF!,4,FALSE)</f>
        <v>#REF!</v>
      </c>
      <c r="E1224" s="315" t="e">
        <f t="shared" si="19"/>
        <v>#REF!</v>
      </c>
    </row>
    <row r="1225" spans="1:5" x14ac:dyDescent="0.2">
      <c r="A1225" s="313">
        <v>1845100853</v>
      </c>
      <c r="B1225" s="313" t="s">
        <v>2002</v>
      </c>
      <c r="D1225" s="313" t="e">
        <f>VLOOKUP(A1225,#REF!,4,FALSE)</f>
        <v>#REF!</v>
      </c>
      <c r="E1225" s="315" t="e">
        <f t="shared" si="19"/>
        <v>#REF!</v>
      </c>
    </row>
    <row r="1226" spans="1:5" x14ac:dyDescent="0.2">
      <c r="A1226" s="313">
        <v>1845200841</v>
      </c>
      <c r="B1226" s="313" t="s">
        <v>1031</v>
      </c>
      <c r="C1226" s="314">
        <v>1800</v>
      </c>
      <c r="D1226" s="313" t="e">
        <f>VLOOKUP(A1226,#REF!,4,FALSE)</f>
        <v>#REF!</v>
      </c>
      <c r="E1226" s="315" t="e">
        <f t="shared" si="19"/>
        <v>#REF!</v>
      </c>
    </row>
    <row r="1227" spans="1:5" x14ac:dyDescent="0.2">
      <c r="A1227" s="313">
        <v>1845200842</v>
      </c>
      <c r="B1227" s="313" t="s">
        <v>1032</v>
      </c>
      <c r="C1227" s="314">
        <v>657300</v>
      </c>
      <c r="D1227" s="313" t="e">
        <f>VLOOKUP(A1227,#REF!,4,FALSE)</f>
        <v>#REF!</v>
      </c>
      <c r="E1227" s="315" t="e">
        <f t="shared" si="19"/>
        <v>#REF!</v>
      </c>
    </row>
    <row r="1228" spans="1:5" x14ac:dyDescent="0.2">
      <c r="A1228" s="313">
        <v>1845200846</v>
      </c>
      <c r="B1228" s="313" t="s">
        <v>63</v>
      </c>
      <c r="C1228" s="314">
        <v>50000</v>
      </c>
      <c r="D1228" s="313" t="e">
        <f>VLOOKUP(A1228,#REF!,4,FALSE)</f>
        <v>#REF!</v>
      </c>
      <c r="E1228" s="315" t="e">
        <f t="shared" si="19"/>
        <v>#REF!</v>
      </c>
    </row>
    <row r="1229" spans="1:5" x14ac:dyDescent="0.2">
      <c r="A1229" s="313">
        <v>1845200847</v>
      </c>
      <c r="B1229" s="313" t="s">
        <v>64</v>
      </c>
      <c r="C1229" s="314">
        <v>823000</v>
      </c>
      <c r="D1229" s="313" t="e">
        <f>VLOOKUP(A1229,#REF!,4,FALSE)</f>
        <v>#REF!</v>
      </c>
      <c r="E1229" s="315" t="e">
        <f t="shared" si="19"/>
        <v>#REF!</v>
      </c>
    </row>
    <row r="1230" spans="1:5" x14ac:dyDescent="0.2">
      <c r="A1230" s="313">
        <v>1845300840</v>
      </c>
      <c r="B1230" s="313" t="s">
        <v>298</v>
      </c>
      <c r="D1230" s="313" t="e">
        <f>VLOOKUP(A1230,#REF!,4,FALSE)</f>
        <v>#REF!</v>
      </c>
      <c r="E1230" s="315" t="e">
        <f t="shared" si="19"/>
        <v>#REF!</v>
      </c>
    </row>
    <row r="1231" spans="1:5" x14ac:dyDescent="0.2">
      <c r="A1231" s="313">
        <v>1845300841</v>
      </c>
      <c r="B1231" s="313" t="s">
        <v>439</v>
      </c>
      <c r="C1231" s="314">
        <v>20000</v>
      </c>
      <c r="D1231" s="313" t="e">
        <f>VLOOKUP(A1231,#REF!,4,FALSE)</f>
        <v>#REF!</v>
      </c>
      <c r="E1231" s="315" t="e">
        <f t="shared" si="19"/>
        <v>#REF!</v>
      </c>
    </row>
    <row r="1232" spans="1:5" x14ac:dyDescent="0.2">
      <c r="A1232" s="313">
        <v>1845300843</v>
      </c>
      <c r="B1232" s="313" t="s">
        <v>440</v>
      </c>
      <c r="C1232" s="314">
        <v>20000</v>
      </c>
      <c r="D1232" s="313" t="e">
        <f>VLOOKUP(A1232,#REF!,4,FALSE)</f>
        <v>#REF!</v>
      </c>
      <c r="E1232" s="315" t="e">
        <f t="shared" si="19"/>
        <v>#REF!</v>
      </c>
    </row>
    <row r="1233" spans="1:5" x14ac:dyDescent="0.2">
      <c r="A1233" s="313">
        <v>1845300846</v>
      </c>
      <c r="B1233" s="313" t="s">
        <v>87</v>
      </c>
      <c r="C1233" s="314">
        <v>20000</v>
      </c>
      <c r="D1233" s="313" t="e">
        <f>VLOOKUP(A1233,#REF!,4,FALSE)</f>
        <v>#REF!</v>
      </c>
      <c r="E1233" s="315" t="e">
        <f t="shared" si="19"/>
        <v>#REF!</v>
      </c>
    </row>
    <row r="1234" spans="1:5" x14ac:dyDescent="0.2">
      <c r="A1234" s="313">
        <v>1845300847</v>
      </c>
      <c r="B1234" s="313" t="s">
        <v>65</v>
      </c>
      <c r="C1234" s="314">
        <v>325000</v>
      </c>
      <c r="D1234" s="313" t="e">
        <f>VLOOKUP(A1234,#REF!,4,FALSE)</f>
        <v>#REF!</v>
      </c>
      <c r="E1234" s="315" t="e">
        <f t="shared" si="19"/>
        <v>#REF!</v>
      </c>
    </row>
    <row r="1235" spans="1:5" x14ac:dyDescent="0.2">
      <c r="A1235" s="313">
        <v>1845300848</v>
      </c>
      <c r="B1235" s="313" t="s">
        <v>66</v>
      </c>
      <c r="C1235" s="314">
        <v>31752</v>
      </c>
      <c r="D1235" s="313" t="e">
        <f>VLOOKUP(A1235,#REF!,4,FALSE)</f>
        <v>#REF!</v>
      </c>
      <c r="E1235" s="315" t="e">
        <f t="shared" si="19"/>
        <v>#REF!</v>
      </c>
    </row>
    <row r="1236" spans="1:5" x14ac:dyDescent="0.2">
      <c r="A1236" s="313">
        <v>1846100840</v>
      </c>
      <c r="B1236" s="313" t="s">
        <v>442</v>
      </c>
      <c r="C1236" s="314">
        <v>174000</v>
      </c>
      <c r="D1236" s="313" t="e">
        <f>VLOOKUP(A1236,#REF!,4,FALSE)</f>
        <v>#REF!</v>
      </c>
      <c r="E1236" s="315" t="e">
        <f t="shared" si="19"/>
        <v>#REF!</v>
      </c>
    </row>
    <row r="1237" spans="1:5" x14ac:dyDescent="0.2">
      <c r="A1237" s="313">
        <v>1846300841</v>
      </c>
      <c r="B1237" s="313" t="s">
        <v>443</v>
      </c>
      <c r="C1237" s="314">
        <v>63000</v>
      </c>
      <c r="D1237" s="313" t="e">
        <f>VLOOKUP(A1237,#REF!,4,FALSE)</f>
        <v>#REF!</v>
      </c>
      <c r="E1237" s="315" t="e">
        <f t="shared" si="19"/>
        <v>#REF!</v>
      </c>
    </row>
    <row r="1238" spans="1:5" x14ac:dyDescent="0.2">
      <c r="A1238" s="313">
        <v>1846300843</v>
      </c>
      <c r="B1238" s="313" t="s">
        <v>444</v>
      </c>
      <c r="C1238" s="314">
        <v>13100</v>
      </c>
      <c r="D1238" s="313" t="e">
        <f>VLOOKUP(A1238,#REF!,4,FALSE)</f>
        <v>#REF!</v>
      </c>
      <c r="E1238" s="315" t="e">
        <f t="shared" si="19"/>
        <v>#REF!</v>
      </c>
    </row>
    <row r="1239" spans="1:5" x14ac:dyDescent="0.2">
      <c r="A1239" s="313">
        <v>1846400780</v>
      </c>
      <c r="B1239" s="313" t="s">
        <v>1033</v>
      </c>
      <c r="C1239" s="314">
        <v>7800</v>
      </c>
      <c r="D1239" s="313" t="e">
        <f>VLOOKUP(A1239,#REF!,4,FALSE)</f>
        <v>#REF!</v>
      </c>
      <c r="E1239" s="315" t="e">
        <f t="shared" si="19"/>
        <v>#REF!</v>
      </c>
    </row>
    <row r="1240" spans="1:5" x14ac:dyDescent="0.2">
      <c r="A1240" s="313">
        <v>1846400840</v>
      </c>
      <c r="B1240" s="313" t="s">
        <v>1415</v>
      </c>
      <c r="C1240" s="314">
        <v>55656</v>
      </c>
      <c r="D1240" s="313" t="e">
        <f>VLOOKUP(A1240,#REF!,4,FALSE)</f>
        <v>#REF!</v>
      </c>
      <c r="E1240" s="315" t="e">
        <f t="shared" si="19"/>
        <v>#REF!</v>
      </c>
    </row>
    <row r="1241" spans="1:5" x14ac:dyDescent="0.2">
      <c r="A1241" s="313">
        <v>1846400841</v>
      </c>
      <c r="B1241" s="313" t="s">
        <v>445</v>
      </c>
      <c r="D1241" s="313" t="e">
        <f>VLOOKUP(A1241,#REF!,4,FALSE)</f>
        <v>#REF!</v>
      </c>
      <c r="E1241" s="315" t="e">
        <f t="shared" si="19"/>
        <v>#REF!</v>
      </c>
    </row>
    <row r="1242" spans="1:5" x14ac:dyDescent="0.2">
      <c r="A1242" s="313">
        <v>1846500840</v>
      </c>
      <c r="B1242" s="313" t="s">
        <v>446</v>
      </c>
      <c r="C1242" s="314">
        <v>3932400</v>
      </c>
      <c r="D1242" s="313" t="e">
        <f>VLOOKUP(A1242,#REF!,4,FALSE)</f>
        <v>#REF!</v>
      </c>
      <c r="E1242" s="315" t="e">
        <f t="shared" si="19"/>
        <v>#REF!</v>
      </c>
    </row>
    <row r="1243" spans="1:5" x14ac:dyDescent="0.2">
      <c r="A1243" s="313">
        <v>1846600840</v>
      </c>
      <c r="B1243" s="313" t="s">
        <v>1034</v>
      </c>
      <c r="C1243" s="314">
        <v>79800</v>
      </c>
      <c r="D1243" s="313" t="e">
        <f>VLOOKUP(A1243,#REF!,4,FALSE)</f>
        <v>#REF!</v>
      </c>
      <c r="E1243" s="315" t="e">
        <f t="shared" si="19"/>
        <v>#REF!</v>
      </c>
    </row>
    <row r="1244" spans="1:5" x14ac:dyDescent="0.2">
      <c r="A1244" s="313">
        <v>1846600841</v>
      </c>
      <c r="B1244" s="313" t="s">
        <v>448</v>
      </c>
      <c r="C1244" s="314">
        <v>163240</v>
      </c>
      <c r="D1244" s="313" t="e">
        <f>VLOOKUP(A1244,#REF!,4,FALSE)</f>
        <v>#REF!</v>
      </c>
      <c r="E1244" s="315" t="e">
        <f t="shared" si="19"/>
        <v>#REF!</v>
      </c>
    </row>
    <row r="1245" spans="1:5" x14ac:dyDescent="0.2">
      <c r="A1245" s="313">
        <v>1846600843</v>
      </c>
      <c r="B1245" s="313" t="s">
        <v>1479</v>
      </c>
      <c r="C1245" s="314">
        <v>6000</v>
      </c>
      <c r="D1245" s="313" t="e">
        <f>VLOOKUP(A1245,#REF!,4,FALSE)</f>
        <v>#REF!</v>
      </c>
      <c r="E1245" s="315" t="e">
        <f t="shared" si="19"/>
        <v>#REF!</v>
      </c>
    </row>
    <row r="1246" spans="1:5" x14ac:dyDescent="0.2">
      <c r="A1246" s="313">
        <v>1846700840</v>
      </c>
      <c r="B1246" s="313" t="s">
        <v>1035</v>
      </c>
      <c r="C1246" s="314">
        <v>35000</v>
      </c>
      <c r="D1246" s="313" t="e">
        <f>VLOOKUP(A1246,#REF!,4,FALSE)</f>
        <v>#REF!</v>
      </c>
      <c r="E1246" s="315" t="e">
        <f t="shared" si="19"/>
        <v>#REF!</v>
      </c>
    </row>
    <row r="1247" spans="1:5" x14ac:dyDescent="0.2">
      <c r="A1247" s="313">
        <v>1846700841</v>
      </c>
      <c r="B1247" s="313" t="s">
        <v>1417</v>
      </c>
      <c r="C1247" s="314">
        <v>12504</v>
      </c>
      <c r="D1247" s="313" t="e">
        <f>VLOOKUP(A1247,#REF!,4,FALSE)</f>
        <v>#REF!</v>
      </c>
      <c r="E1247" s="315" t="e">
        <f t="shared" si="19"/>
        <v>#REF!</v>
      </c>
    </row>
    <row r="1248" spans="1:5" x14ac:dyDescent="0.2">
      <c r="A1248" s="313">
        <v>1846700843</v>
      </c>
      <c r="B1248" s="313" t="s">
        <v>303</v>
      </c>
      <c r="C1248" s="314">
        <v>385104</v>
      </c>
      <c r="D1248" s="313" t="e">
        <f>VLOOKUP(A1248,#REF!,4,FALSE)</f>
        <v>#REF!</v>
      </c>
      <c r="E1248" s="315" t="e">
        <f t="shared" si="19"/>
        <v>#REF!</v>
      </c>
    </row>
    <row r="1249" spans="1:5" x14ac:dyDescent="0.2">
      <c r="A1249" s="313">
        <v>1846700844</v>
      </c>
      <c r="B1249" s="313" t="s">
        <v>450</v>
      </c>
      <c r="C1249" s="314">
        <v>320000</v>
      </c>
      <c r="D1249" s="313" t="e">
        <f>VLOOKUP(A1249,#REF!,4,FALSE)</f>
        <v>#REF!</v>
      </c>
      <c r="E1249" s="315" t="e">
        <f t="shared" si="19"/>
        <v>#REF!</v>
      </c>
    </row>
    <row r="1250" spans="1:5" x14ac:dyDescent="0.2">
      <c r="A1250" s="313">
        <v>1846700846</v>
      </c>
      <c r="B1250" s="313" t="s">
        <v>452</v>
      </c>
      <c r="C1250" s="314">
        <v>5000</v>
      </c>
      <c r="D1250" s="313" t="e">
        <f>VLOOKUP(A1250,#REF!,4,FALSE)</f>
        <v>#REF!</v>
      </c>
      <c r="E1250" s="315" t="e">
        <f t="shared" si="19"/>
        <v>#REF!</v>
      </c>
    </row>
    <row r="1251" spans="1:5" x14ac:dyDescent="0.2">
      <c r="A1251" s="313">
        <v>1846700848</v>
      </c>
      <c r="B1251" s="313" t="s">
        <v>454</v>
      </c>
      <c r="C1251" s="314">
        <v>94857</v>
      </c>
      <c r="D1251" s="313" t="e">
        <f>VLOOKUP(A1251,#REF!,4,FALSE)</f>
        <v>#REF!</v>
      </c>
      <c r="E1251" s="315" t="e">
        <f t="shared" si="19"/>
        <v>#REF!</v>
      </c>
    </row>
    <row r="1252" spans="1:5" x14ac:dyDescent="0.2">
      <c r="A1252" s="313">
        <v>1846700849</v>
      </c>
      <c r="B1252" s="313" t="s">
        <v>88</v>
      </c>
      <c r="C1252" s="314">
        <v>38280</v>
      </c>
      <c r="D1252" s="313" t="e">
        <f>VLOOKUP(A1252,#REF!,4,FALSE)</f>
        <v>#REF!</v>
      </c>
      <c r="E1252" s="315" t="e">
        <f t="shared" si="19"/>
        <v>#REF!</v>
      </c>
    </row>
    <row r="1253" spans="1:5" x14ac:dyDescent="0.2">
      <c r="A1253" s="313">
        <v>1846800842</v>
      </c>
      <c r="B1253" s="313" t="s">
        <v>455</v>
      </c>
      <c r="C1253" s="314">
        <v>18000</v>
      </c>
      <c r="D1253" s="313" t="e">
        <f>VLOOKUP(A1253,#REF!,4,FALSE)</f>
        <v>#REF!</v>
      </c>
      <c r="E1253" s="315" t="e">
        <f t="shared" si="19"/>
        <v>#REF!</v>
      </c>
    </row>
    <row r="1254" spans="1:5" x14ac:dyDescent="0.2">
      <c r="A1254" s="313">
        <v>1846800843</v>
      </c>
      <c r="B1254" s="313" t="s">
        <v>456</v>
      </c>
      <c r="C1254" s="314">
        <v>239088</v>
      </c>
      <c r="D1254" s="313" t="e">
        <f>VLOOKUP(A1254,#REF!,4,FALSE)</f>
        <v>#REF!</v>
      </c>
      <c r="E1254" s="315" t="e">
        <f t="shared" si="19"/>
        <v>#REF!</v>
      </c>
    </row>
    <row r="1255" spans="1:5" x14ac:dyDescent="0.2">
      <c r="A1255" s="313">
        <v>1846800844</v>
      </c>
      <c r="B1255" s="313" t="s">
        <v>457</v>
      </c>
      <c r="C1255" s="314">
        <v>15000</v>
      </c>
      <c r="D1255" s="313" t="e">
        <f>VLOOKUP(A1255,#REF!,4,FALSE)</f>
        <v>#REF!</v>
      </c>
      <c r="E1255" s="315" t="e">
        <f t="shared" si="19"/>
        <v>#REF!</v>
      </c>
    </row>
    <row r="1256" spans="1:5" x14ac:dyDescent="0.2">
      <c r="A1256" s="313">
        <v>1846800846</v>
      </c>
      <c r="B1256" s="313" t="s">
        <v>459</v>
      </c>
      <c r="C1256" s="314">
        <v>277944</v>
      </c>
      <c r="D1256" s="313" t="e">
        <f>VLOOKUP(A1256,#REF!,4,FALSE)</f>
        <v>#REF!</v>
      </c>
      <c r="E1256" s="315" t="e">
        <f t="shared" si="19"/>
        <v>#REF!</v>
      </c>
    </row>
    <row r="1257" spans="1:5" x14ac:dyDescent="0.2">
      <c r="A1257" s="313">
        <v>1846800848</v>
      </c>
      <c r="B1257" s="313" t="s">
        <v>1627</v>
      </c>
      <c r="C1257" s="314">
        <v>64956</v>
      </c>
      <c r="D1257" s="313" t="e">
        <f>VLOOKUP(A1257,#REF!,4,FALSE)</f>
        <v>#REF!</v>
      </c>
      <c r="E1257" s="315" t="e">
        <f t="shared" si="19"/>
        <v>#REF!</v>
      </c>
    </row>
    <row r="1258" spans="1:5" x14ac:dyDescent="0.2">
      <c r="A1258" s="313">
        <v>1846800850</v>
      </c>
      <c r="B1258" s="313" t="s">
        <v>67</v>
      </c>
      <c r="C1258" s="314">
        <v>101600</v>
      </c>
      <c r="D1258" s="313" t="e">
        <f>VLOOKUP(A1258,#REF!,4,FALSE)</f>
        <v>#REF!</v>
      </c>
      <c r="E1258" s="315" t="e">
        <f t="shared" si="19"/>
        <v>#REF!</v>
      </c>
    </row>
    <row r="1259" spans="1:5" x14ac:dyDescent="0.2">
      <c r="A1259" s="313">
        <v>1846900780</v>
      </c>
      <c r="B1259" s="313" t="s">
        <v>1548</v>
      </c>
      <c r="C1259" s="314">
        <v>180000</v>
      </c>
      <c r="D1259" s="313" t="e">
        <f>VLOOKUP(A1259,#REF!,4,FALSE)</f>
        <v>#REF!</v>
      </c>
      <c r="E1259" s="315" t="e">
        <f t="shared" si="19"/>
        <v>#REF!</v>
      </c>
    </row>
    <row r="1260" spans="1:5" x14ac:dyDescent="0.2">
      <c r="A1260" s="313">
        <v>1847100841</v>
      </c>
      <c r="B1260" s="313" t="s">
        <v>461</v>
      </c>
      <c r="C1260" s="314">
        <v>270000</v>
      </c>
      <c r="D1260" s="313" t="e">
        <f>VLOOKUP(A1260,#REF!,4,FALSE)</f>
        <v>#REF!</v>
      </c>
      <c r="E1260" s="315" t="e">
        <f t="shared" si="19"/>
        <v>#REF!</v>
      </c>
    </row>
    <row r="1261" spans="1:5" x14ac:dyDescent="0.2">
      <c r="A1261" s="313">
        <v>1847100843</v>
      </c>
      <c r="B1261" s="313" t="s">
        <v>462</v>
      </c>
      <c r="C1261" s="314">
        <v>186300</v>
      </c>
      <c r="D1261" s="313" t="e">
        <f>VLOOKUP(A1261,#REF!,4,FALSE)</f>
        <v>#REF!</v>
      </c>
      <c r="E1261" s="315" t="e">
        <f t="shared" si="19"/>
        <v>#REF!</v>
      </c>
    </row>
    <row r="1262" spans="1:5" x14ac:dyDescent="0.2">
      <c r="A1262" s="313">
        <v>1847100845</v>
      </c>
      <c r="B1262" s="313" t="s">
        <v>1421</v>
      </c>
      <c r="C1262" s="314">
        <v>6796</v>
      </c>
      <c r="D1262" s="313" t="e">
        <f>VLOOKUP(A1262,#REF!,4,FALSE)</f>
        <v>#REF!</v>
      </c>
      <c r="E1262" s="315" t="e">
        <f t="shared" si="19"/>
        <v>#REF!</v>
      </c>
    </row>
    <row r="1263" spans="1:5" x14ac:dyDescent="0.2">
      <c r="A1263" s="313">
        <v>1847100846</v>
      </c>
      <c r="B1263" s="313" t="s">
        <v>50</v>
      </c>
      <c r="C1263" s="314">
        <v>15084</v>
      </c>
      <c r="D1263" s="313" t="e">
        <f>VLOOKUP(A1263,#REF!,4,FALSE)</f>
        <v>#REF!</v>
      </c>
      <c r="E1263" s="315" t="e">
        <f t="shared" si="19"/>
        <v>#REF!</v>
      </c>
    </row>
    <row r="1264" spans="1:5" x14ac:dyDescent="0.2">
      <c r="A1264" s="313">
        <v>1847100849</v>
      </c>
      <c r="B1264" s="313" t="s">
        <v>1957</v>
      </c>
      <c r="D1264" s="313" t="e">
        <f>VLOOKUP(A1264,#REF!,4,FALSE)</f>
        <v>#REF!</v>
      </c>
      <c r="E1264" s="315" t="e">
        <f t="shared" si="19"/>
        <v>#REF!</v>
      </c>
    </row>
    <row r="1265" spans="1:5" x14ac:dyDescent="0.2">
      <c r="A1265" s="313">
        <v>1847100850</v>
      </c>
      <c r="B1265" s="313" t="s">
        <v>1145</v>
      </c>
      <c r="D1265" s="313" t="e">
        <f>VLOOKUP(A1265,#REF!,4,FALSE)</f>
        <v>#REF!</v>
      </c>
      <c r="E1265" s="315" t="e">
        <f t="shared" si="19"/>
        <v>#REF!</v>
      </c>
    </row>
    <row r="1266" spans="1:5" x14ac:dyDescent="0.2">
      <c r="A1266" s="313">
        <v>1847100852</v>
      </c>
      <c r="B1266" s="313" t="s">
        <v>69</v>
      </c>
      <c r="C1266" s="314">
        <v>20000</v>
      </c>
      <c r="D1266" s="313" t="e">
        <f>VLOOKUP(A1266,#REF!,4,FALSE)</f>
        <v>#REF!</v>
      </c>
      <c r="E1266" s="315" t="e">
        <f t="shared" si="19"/>
        <v>#REF!</v>
      </c>
    </row>
    <row r="1267" spans="1:5" x14ac:dyDescent="0.2">
      <c r="A1267" s="313">
        <v>1847100854</v>
      </c>
      <c r="B1267" s="313" t="s">
        <v>1959</v>
      </c>
      <c r="D1267" s="313" t="e">
        <f>VLOOKUP(A1267,#REF!,4,FALSE)</f>
        <v>#REF!</v>
      </c>
      <c r="E1267" s="315" t="e">
        <f t="shared" si="19"/>
        <v>#REF!</v>
      </c>
    </row>
    <row r="1268" spans="1:5" x14ac:dyDescent="0.2">
      <c r="A1268" s="313">
        <v>1847110842</v>
      </c>
      <c r="B1268" s="313" t="s">
        <v>464</v>
      </c>
      <c r="C1268" s="314">
        <v>80000</v>
      </c>
      <c r="D1268" s="313" t="e">
        <f>VLOOKUP(A1268,#REF!,4,FALSE)</f>
        <v>#REF!</v>
      </c>
      <c r="E1268" s="315" t="e">
        <f t="shared" si="19"/>
        <v>#REF!</v>
      </c>
    </row>
    <row r="1269" spans="1:5" x14ac:dyDescent="0.2">
      <c r="A1269" s="313">
        <v>1847300840</v>
      </c>
      <c r="B1269" s="313" t="s">
        <v>466</v>
      </c>
      <c r="C1269" s="314">
        <v>6000</v>
      </c>
      <c r="D1269" s="313" t="e">
        <f>VLOOKUP(A1269,#REF!,4,FALSE)</f>
        <v>#REF!</v>
      </c>
      <c r="E1269" s="315" t="e">
        <f t="shared" si="19"/>
        <v>#REF!</v>
      </c>
    </row>
    <row r="1270" spans="1:5" x14ac:dyDescent="0.2">
      <c r="A1270" s="313">
        <v>1847300846</v>
      </c>
      <c r="B1270" s="313" t="s">
        <v>1425</v>
      </c>
      <c r="C1270" s="314">
        <v>135000</v>
      </c>
      <c r="D1270" s="313" t="e">
        <f>VLOOKUP(A1270,#REF!,4,FALSE)</f>
        <v>#REF!</v>
      </c>
      <c r="E1270" s="315" t="e">
        <f t="shared" si="19"/>
        <v>#REF!</v>
      </c>
    </row>
    <row r="1271" spans="1:5" x14ac:dyDescent="0.2">
      <c r="A1271" s="313">
        <v>1847300847</v>
      </c>
      <c r="B1271" s="313" t="s">
        <v>89</v>
      </c>
      <c r="D1271" s="313" t="e">
        <f>VLOOKUP(A1271,#REF!,4,FALSE)</f>
        <v>#REF!</v>
      </c>
      <c r="E1271" s="315" t="e">
        <f t="shared" si="19"/>
        <v>#REF!</v>
      </c>
    </row>
    <row r="1272" spans="1:5" x14ac:dyDescent="0.2">
      <c r="A1272" s="313">
        <v>1847300848</v>
      </c>
      <c r="B1272" s="313" t="s">
        <v>1478</v>
      </c>
      <c r="D1272" s="313" t="e">
        <f>VLOOKUP(A1272,#REF!,4,FALSE)</f>
        <v>#REF!</v>
      </c>
      <c r="E1272" s="315" t="e">
        <f t="shared" si="19"/>
        <v>#REF!</v>
      </c>
    </row>
    <row r="1273" spans="1:5" x14ac:dyDescent="0.2">
      <c r="A1273" s="313">
        <v>1847400422</v>
      </c>
      <c r="B1273" s="313" t="s">
        <v>1039</v>
      </c>
      <c r="C1273" s="314">
        <v>56400</v>
      </c>
      <c r="D1273" s="313" t="e">
        <f>VLOOKUP(A1273,#REF!,4,FALSE)</f>
        <v>#REF!</v>
      </c>
      <c r="E1273" s="315" t="e">
        <f t="shared" si="19"/>
        <v>#REF!</v>
      </c>
    </row>
    <row r="1274" spans="1:5" x14ac:dyDescent="0.2">
      <c r="A1274" s="313">
        <v>1847400540</v>
      </c>
      <c r="B1274" s="313" t="s">
        <v>875</v>
      </c>
      <c r="C1274" s="314">
        <v>7608</v>
      </c>
      <c r="D1274" s="313" t="e">
        <f>VLOOKUP(A1274,#REF!,4,FALSE)</f>
        <v>#REF!</v>
      </c>
      <c r="E1274" s="315" t="e">
        <f t="shared" si="19"/>
        <v>#REF!</v>
      </c>
    </row>
    <row r="1275" spans="1:5" x14ac:dyDescent="0.2">
      <c r="A1275" s="313">
        <v>1847400560</v>
      </c>
      <c r="B1275" s="313" t="s">
        <v>1040</v>
      </c>
      <c r="C1275" s="314">
        <v>5500</v>
      </c>
      <c r="D1275" s="313" t="e">
        <f>VLOOKUP(A1275,#REF!,4,FALSE)</f>
        <v>#REF!</v>
      </c>
      <c r="E1275" s="315" t="e">
        <f t="shared" si="19"/>
        <v>#REF!</v>
      </c>
    </row>
    <row r="1276" spans="1:5" x14ac:dyDescent="0.2">
      <c r="A1276" s="313">
        <v>1847400720</v>
      </c>
      <c r="B1276" s="313" t="s">
        <v>689</v>
      </c>
      <c r="C1276" s="314">
        <v>10000</v>
      </c>
      <c r="D1276" s="313" t="e">
        <f>VLOOKUP(A1276,#REF!,4,FALSE)</f>
        <v>#REF!</v>
      </c>
      <c r="E1276" s="315" t="e">
        <f t="shared" si="19"/>
        <v>#REF!</v>
      </c>
    </row>
    <row r="1277" spans="1:5" x14ac:dyDescent="0.2">
      <c r="A1277" s="313">
        <v>1847400840</v>
      </c>
      <c r="B1277" s="313" t="s">
        <v>200</v>
      </c>
      <c r="D1277" s="313" t="e">
        <f>VLOOKUP(A1277,#REF!,4,FALSE)</f>
        <v>#REF!</v>
      </c>
      <c r="E1277" s="315" t="e">
        <f t="shared" si="19"/>
        <v>#REF!</v>
      </c>
    </row>
    <row r="1278" spans="1:5" x14ac:dyDescent="0.2">
      <c r="A1278" s="313">
        <v>1847400841</v>
      </c>
      <c r="B1278" s="313" t="s">
        <v>1041</v>
      </c>
      <c r="C1278" s="314">
        <v>212404</v>
      </c>
      <c r="D1278" s="313" t="e">
        <f>VLOOKUP(A1278,#REF!,4,FALSE)</f>
        <v>#REF!</v>
      </c>
      <c r="E1278" s="315" t="e">
        <f t="shared" si="19"/>
        <v>#REF!</v>
      </c>
    </row>
    <row r="1279" spans="1:5" x14ac:dyDescent="0.2">
      <c r="A1279" s="313">
        <v>1847400843</v>
      </c>
      <c r="B1279" s="313" t="s">
        <v>1042</v>
      </c>
      <c r="C1279" s="314">
        <v>59456</v>
      </c>
      <c r="D1279" s="313" t="e">
        <f>VLOOKUP(A1279,#REF!,4,FALSE)</f>
        <v>#REF!</v>
      </c>
      <c r="E1279" s="315" t="e">
        <f t="shared" si="19"/>
        <v>#REF!</v>
      </c>
    </row>
    <row r="1280" spans="1:5" x14ac:dyDescent="0.2">
      <c r="A1280" s="313">
        <v>1847400844</v>
      </c>
      <c r="B1280" s="313" t="s">
        <v>1043</v>
      </c>
      <c r="D1280" s="313" t="e">
        <f>VLOOKUP(A1280,#REF!,4,FALSE)</f>
        <v>#REF!</v>
      </c>
      <c r="E1280" s="315" t="e">
        <f t="shared" si="19"/>
        <v>#REF!</v>
      </c>
    </row>
    <row r="1281" spans="1:5" x14ac:dyDescent="0.2">
      <c r="A1281" s="313">
        <v>1847400845</v>
      </c>
      <c r="B1281" s="313" t="s">
        <v>473</v>
      </c>
      <c r="D1281" s="313" t="e">
        <f>VLOOKUP(A1281,#REF!,4,FALSE)</f>
        <v>#REF!</v>
      </c>
      <c r="E1281" s="315" t="e">
        <f t="shared" si="19"/>
        <v>#REF!</v>
      </c>
    </row>
    <row r="1282" spans="1:5" x14ac:dyDescent="0.2">
      <c r="A1282" s="313">
        <v>1847400846</v>
      </c>
      <c r="B1282" s="313" t="s">
        <v>2027</v>
      </c>
      <c r="D1282" s="313" t="e">
        <f>VLOOKUP(A1282,#REF!,4,FALSE)</f>
        <v>#REF!</v>
      </c>
      <c r="E1282" s="315" t="e">
        <f t="shared" si="19"/>
        <v>#REF!</v>
      </c>
    </row>
    <row r="1283" spans="1:5" x14ac:dyDescent="0.2">
      <c r="A1283" s="313">
        <v>1847411750</v>
      </c>
      <c r="B1283" s="313" t="s">
        <v>1044</v>
      </c>
      <c r="C1283" s="314">
        <v>2000</v>
      </c>
      <c r="D1283" s="313" t="e">
        <f>VLOOKUP(A1283,#REF!,4,FALSE)</f>
        <v>#REF!</v>
      </c>
      <c r="E1283" s="315" t="e">
        <f t="shared" si="19"/>
        <v>#REF!</v>
      </c>
    </row>
    <row r="1284" spans="1:5" x14ac:dyDescent="0.2">
      <c r="A1284" s="313">
        <v>1848200841</v>
      </c>
      <c r="B1284" s="313" t="s">
        <v>1045</v>
      </c>
      <c r="C1284" s="314">
        <v>25000</v>
      </c>
      <c r="D1284" s="313" t="e">
        <f>VLOOKUP(A1284,#REF!,4,FALSE)</f>
        <v>#REF!</v>
      </c>
      <c r="E1284" s="315" t="e">
        <f t="shared" si="19"/>
        <v>#REF!</v>
      </c>
    </row>
    <row r="1285" spans="1:5" x14ac:dyDescent="0.2">
      <c r="A1285" s="313">
        <v>1848200847</v>
      </c>
      <c r="B1285" s="313" t="s">
        <v>1365</v>
      </c>
      <c r="C1285" s="314">
        <v>11000</v>
      </c>
      <c r="D1285" s="313" t="e">
        <f>VLOOKUP(A1285,#REF!,4,FALSE)</f>
        <v>#REF!</v>
      </c>
      <c r="E1285" s="315" t="e">
        <f t="shared" si="19"/>
        <v>#REF!</v>
      </c>
    </row>
    <row r="1286" spans="1:5" x14ac:dyDescent="0.2">
      <c r="A1286" s="313">
        <v>1848300580</v>
      </c>
      <c r="B1286" s="313" t="s">
        <v>1046</v>
      </c>
      <c r="C1286" s="314">
        <v>13700</v>
      </c>
      <c r="D1286" s="313" t="e">
        <f>VLOOKUP(A1286,#REF!,4,FALSE)</f>
        <v>#REF!</v>
      </c>
      <c r="E1286" s="315" t="e">
        <f t="shared" ref="E1286:E1334" si="20">C1286-D1286</f>
        <v>#REF!</v>
      </c>
    </row>
    <row r="1287" spans="1:5" x14ac:dyDescent="0.2">
      <c r="A1287" s="313">
        <v>1848300840</v>
      </c>
      <c r="B1287" s="313" t="s">
        <v>1047</v>
      </c>
      <c r="C1287" s="314">
        <v>8000</v>
      </c>
      <c r="D1287" s="313" t="e">
        <f>VLOOKUP(A1287,#REF!,4,FALSE)</f>
        <v>#REF!</v>
      </c>
      <c r="E1287" s="315" t="e">
        <f t="shared" si="20"/>
        <v>#REF!</v>
      </c>
    </row>
    <row r="1288" spans="1:5" x14ac:dyDescent="0.2">
      <c r="A1288" s="313">
        <v>1848400840</v>
      </c>
      <c r="B1288" s="313" t="s">
        <v>476</v>
      </c>
      <c r="C1288" s="314">
        <v>2540</v>
      </c>
      <c r="D1288" s="313" t="e">
        <f>VLOOKUP(A1288,#REF!,4,FALSE)</f>
        <v>#REF!</v>
      </c>
      <c r="E1288" s="315" t="e">
        <f t="shared" si="20"/>
        <v>#REF!</v>
      </c>
    </row>
    <row r="1289" spans="1:5" x14ac:dyDescent="0.2">
      <c r="A1289" s="313">
        <v>1848500840</v>
      </c>
      <c r="B1289" s="313" t="s">
        <v>477</v>
      </c>
      <c r="C1289" s="314">
        <v>36000</v>
      </c>
      <c r="D1289" s="313" t="e">
        <f>VLOOKUP(A1289,#REF!,4,FALSE)</f>
        <v>#REF!</v>
      </c>
      <c r="E1289" s="315" t="e">
        <f t="shared" si="20"/>
        <v>#REF!</v>
      </c>
    </row>
    <row r="1290" spans="1:5" x14ac:dyDescent="0.2">
      <c r="A1290" s="313">
        <v>1848800780</v>
      </c>
      <c r="B1290" s="313" t="s">
        <v>1048</v>
      </c>
      <c r="C1290" s="314">
        <v>30000</v>
      </c>
      <c r="D1290" s="313" t="e">
        <f>VLOOKUP(A1290,#REF!,4,FALSE)</f>
        <v>#REF!</v>
      </c>
      <c r="E1290" s="315" t="e">
        <f t="shared" si="20"/>
        <v>#REF!</v>
      </c>
    </row>
    <row r="1291" spans="1:5" x14ac:dyDescent="0.2">
      <c r="A1291" s="313">
        <v>1848801750</v>
      </c>
      <c r="B1291" s="313" t="s">
        <v>1049</v>
      </c>
      <c r="C1291" s="314">
        <v>30000</v>
      </c>
      <c r="D1291" s="313" t="e">
        <f>VLOOKUP(A1291,#REF!,4,FALSE)</f>
        <v>#REF!</v>
      </c>
      <c r="E1291" s="315" t="e">
        <f t="shared" si="20"/>
        <v>#REF!</v>
      </c>
    </row>
    <row r="1292" spans="1:5" x14ac:dyDescent="0.2">
      <c r="A1292" s="313">
        <v>1849000840</v>
      </c>
      <c r="B1292" s="313" t="s">
        <v>1050</v>
      </c>
      <c r="C1292" s="314">
        <v>20640</v>
      </c>
      <c r="D1292" s="313" t="e">
        <f>VLOOKUP(A1292,#REF!,4,FALSE)</f>
        <v>#REF!</v>
      </c>
      <c r="E1292" s="315" t="e">
        <f t="shared" si="20"/>
        <v>#REF!</v>
      </c>
    </row>
    <row r="1293" spans="1:5" x14ac:dyDescent="0.2">
      <c r="A1293" s="313">
        <v>1849000842</v>
      </c>
      <c r="B1293" s="313" t="s">
        <v>1052</v>
      </c>
      <c r="C1293" s="314">
        <v>37560</v>
      </c>
      <c r="D1293" s="313" t="e">
        <f>VLOOKUP(A1293,#REF!,4,FALSE)</f>
        <v>#REF!</v>
      </c>
      <c r="E1293" s="315" t="e">
        <f t="shared" si="20"/>
        <v>#REF!</v>
      </c>
    </row>
    <row r="1294" spans="1:5" x14ac:dyDescent="0.2">
      <c r="A1294" s="313">
        <v>1849000843</v>
      </c>
      <c r="B1294" s="313" t="s">
        <v>1053</v>
      </c>
      <c r="D1294" s="313" t="e">
        <f>VLOOKUP(A1294,#REF!,4,FALSE)</f>
        <v>#REF!</v>
      </c>
      <c r="E1294" s="315" t="e">
        <f t="shared" si="20"/>
        <v>#REF!</v>
      </c>
    </row>
    <row r="1295" spans="1:5" x14ac:dyDescent="0.2">
      <c r="A1295" s="313">
        <v>1849000844</v>
      </c>
      <c r="B1295" s="313" t="s">
        <v>1054</v>
      </c>
      <c r="C1295" s="314">
        <v>104820</v>
      </c>
      <c r="D1295" s="313" t="e">
        <f>VLOOKUP(A1295,#REF!,4,FALSE)</f>
        <v>#REF!</v>
      </c>
      <c r="E1295" s="315" t="e">
        <f t="shared" si="20"/>
        <v>#REF!</v>
      </c>
    </row>
    <row r="1296" spans="1:5" x14ac:dyDescent="0.2">
      <c r="A1296" s="313">
        <v>1849000845</v>
      </c>
      <c r="B1296" s="313" t="s">
        <v>1055</v>
      </c>
      <c r="C1296" s="314">
        <v>93038</v>
      </c>
      <c r="D1296" s="313" t="e">
        <f>VLOOKUP(A1296,#REF!,4,FALSE)</f>
        <v>#REF!</v>
      </c>
      <c r="E1296" s="315" t="e">
        <f t="shared" si="20"/>
        <v>#REF!</v>
      </c>
    </row>
    <row r="1297" spans="1:5" x14ac:dyDescent="0.2">
      <c r="A1297" s="313">
        <v>1849000846</v>
      </c>
      <c r="B1297" s="313" t="s">
        <v>1146</v>
      </c>
      <c r="D1297" s="313" t="e">
        <f>VLOOKUP(A1297,#REF!,4,FALSE)</f>
        <v>#REF!</v>
      </c>
      <c r="E1297" s="315" t="e">
        <f t="shared" si="20"/>
        <v>#REF!</v>
      </c>
    </row>
    <row r="1298" spans="1:5" x14ac:dyDescent="0.2">
      <c r="A1298" s="313">
        <v>1849000851</v>
      </c>
      <c r="B1298" s="313" t="s">
        <v>70</v>
      </c>
      <c r="C1298" s="314">
        <v>168000</v>
      </c>
      <c r="D1298" s="313" t="e">
        <f>VLOOKUP(A1298,#REF!,4,FALSE)</f>
        <v>#REF!</v>
      </c>
      <c r="E1298" s="315" t="e">
        <f t="shared" si="20"/>
        <v>#REF!</v>
      </c>
    </row>
    <row r="1299" spans="1:5" x14ac:dyDescent="0.2">
      <c r="A1299" s="313">
        <v>1849001841</v>
      </c>
      <c r="B1299" s="313" t="s">
        <v>1366</v>
      </c>
      <c r="C1299" s="314">
        <v>200000</v>
      </c>
      <c r="D1299" s="313" t="e">
        <f>VLOOKUP(A1299,#REF!,4,FALSE)</f>
        <v>#REF!</v>
      </c>
      <c r="E1299" s="315" t="e">
        <f t="shared" si="20"/>
        <v>#REF!</v>
      </c>
    </row>
    <row r="1300" spans="1:5" x14ac:dyDescent="0.2">
      <c r="A1300" s="313">
        <v>1849001844</v>
      </c>
      <c r="B1300" s="313" t="s">
        <v>485</v>
      </c>
      <c r="D1300" s="313" t="e">
        <f>VLOOKUP(A1300,#REF!,4,FALSE)</f>
        <v>#REF!</v>
      </c>
      <c r="E1300" s="315" t="e">
        <f t="shared" si="20"/>
        <v>#REF!</v>
      </c>
    </row>
    <row r="1301" spans="1:5" x14ac:dyDescent="0.2">
      <c r="A1301" s="313">
        <v>1849001847</v>
      </c>
      <c r="B1301" s="313" t="s">
        <v>486</v>
      </c>
      <c r="C1301" s="314">
        <v>15028</v>
      </c>
      <c r="D1301" s="313" t="e">
        <f>VLOOKUP(A1301,#REF!,4,FALSE)</f>
        <v>#REF!</v>
      </c>
      <c r="E1301" s="315" t="e">
        <f t="shared" si="20"/>
        <v>#REF!</v>
      </c>
    </row>
    <row r="1302" spans="1:5" x14ac:dyDescent="0.2">
      <c r="A1302" s="313">
        <v>1849001849</v>
      </c>
      <c r="B1302" s="313" t="s">
        <v>487</v>
      </c>
      <c r="C1302" s="314">
        <v>21008</v>
      </c>
      <c r="D1302" s="313" t="e">
        <f>VLOOKUP(A1302,#REF!,4,FALSE)</f>
        <v>#REF!</v>
      </c>
      <c r="E1302" s="315" t="e">
        <f t="shared" si="20"/>
        <v>#REF!</v>
      </c>
    </row>
    <row r="1303" spans="1:5" x14ac:dyDescent="0.2">
      <c r="A1303" s="313">
        <v>1849002849</v>
      </c>
      <c r="B1303" s="313" t="s">
        <v>1056</v>
      </c>
      <c r="D1303" s="313" t="e">
        <f>VLOOKUP(A1303,#REF!,4,FALSE)</f>
        <v>#REF!</v>
      </c>
      <c r="E1303" s="315" t="e">
        <f t="shared" si="20"/>
        <v>#REF!</v>
      </c>
    </row>
    <row r="1304" spans="1:5" x14ac:dyDescent="0.2">
      <c r="A1304" s="313" t="s">
        <v>277</v>
      </c>
      <c r="B1304" s="313" t="s">
        <v>1022</v>
      </c>
      <c r="C1304" s="314">
        <v>46861140</v>
      </c>
      <c r="D1304" s="313" t="e">
        <f>VLOOKUP(A1304,#REF!,4,FALSE)</f>
        <v>#REF!</v>
      </c>
      <c r="E1304" s="315" t="e">
        <f t="shared" si="20"/>
        <v>#REF!</v>
      </c>
    </row>
    <row r="1305" spans="1:5" x14ac:dyDescent="0.2">
      <c r="A1305" s="313" t="s">
        <v>277</v>
      </c>
      <c r="B1305" s="313" t="s">
        <v>1008</v>
      </c>
      <c r="C1305" s="314">
        <v>60241003</v>
      </c>
      <c r="D1305" s="313" t="e">
        <f>VLOOKUP(A1305,#REF!,4,FALSE)</f>
        <v>#REF!</v>
      </c>
      <c r="E1305" s="315" t="e">
        <f t="shared" si="20"/>
        <v>#REF!</v>
      </c>
    </row>
    <row r="1306" spans="1:5" x14ac:dyDescent="0.2">
      <c r="A1306" s="313" t="s">
        <v>281</v>
      </c>
      <c r="B1306" s="313" t="s">
        <v>1057</v>
      </c>
      <c r="D1306" s="313" t="e">
        <f>VLOOKUP(A1306,#REF!,4,FALSE)</f>
        <v>#REF!</v>
      </c>
      <c r="E1306" s="315" t="e">
        <f t="shared" si="20"/>
        <v>#REF!</v>
      </c>
    </row>
    <row r="1307" spans="1:5" x14ac:dyDescent="0.2">
      <c r="A1307" s="313" t="s">
        <v>1058</v>
      </c>
      <c r="B1307" s="313" t="s">
        <v>1057</v>
      </c>
      <c r="D1307" s="313" t="e">
        <f>VLOOKUP(A1307,#REF!,4,FALSE)</f>
        <v>#REF!</v>
      </c>
      <c r="E1307" s="315" t="e">
        <f t="shared" si="20"/>
        <v>#REF!</v>
      </c>
    </row>
    <row r="1308" spans="1:5" x14ac:dyDescent="0.2">
      <c r="A1308" s="313">
        <v>1649000691</v>
      </c>
      <c r="B1308" s="313" t="s">
        <v>1226</v>
      </c>
      <c r="D1308" s="313" t="e">
        <f>VLOOKUP(A1308,#REF!,4,FALSE)</f>
        <v>#REF!</v>
      </c>
      <c r="E1308" s="315" t="e">
        <f t="shared" si="20"/>
        <v>#REF!</v>
      </c>
    </row>
    <row r="1309" spans="1:5" x14ac:dyDescent="0.2">
      <c r="A1309" s="313">
        <v>1649000692</v>
      </c>
      <c r="B1309" s="313" t="s">
        <v>34</v>
      </c>
      <c r="D1309" s="313" t="e">
        <f>VLOOKUP(A1309,#REF!,4,FALSE)</f>
        <v>#REF!</v>
      </c>
      <c r="E1309" s="315" t="e">
        <f t="shared" si="20"/>
        <v>#REF!</v>
      </c>
    </row>
    <row r="1310" spans="1:5" x14ac:dyDescent="0.2">
      <c r="A1310" s="313">
        <v>1649000693</v>
      </c>
      <c r="B1310" s="313" t="s">
        <v>35</v>
      </c>
      <c r="D1310" s="313" t="e">
        <f>VLOOKUP(A1310,#REF!,4,FALSE)</f>
        <v>#REF!</v>
      </c>
      <c r="E1310" s="315" t="e">
        <f t="shared" si="20"/>
        <v>#REF!</v>
      </c>
    </row>
    <row r="1311" spans="1:5" x14ac:dyDescent="0.2">
      <c r="A1311" s="313">
        <v>1649100691</v>
      </c>
      <c r="B1311" s="313" t="s">
        <v>1059</v>
      </c>
      <c r="C1311" s="314">
        <v>7100463</v>
      </c>
      <c r="D1311" s="313" t="e">
        <f>VLOOKUP(A1311,#REF!,4,FALSE)</f>
        <v>#REF!</v>
      </c>
      <c r="E1311" s="315" t="e">
        <f t="shared" si="20"/>
        <v>#REF!</v>
      </c>
    </row>
    <row r="1312" spans="1:5" x14ac:dyDescent="0.2">
      <c r="A1312" s="313">
        <v>1649100692</v>
      </c>
      <c r="B1312" s="313" t="s">
        <v>1060</v>
      </c>
      <c r="C1312" s="314">
        <v>1379877</v>
      </c>
      <c r="D1312" s="313" t="e">
        <f>VLOOKUP(A1312,#REF!,4,FALSE)</f>
        <v>#REF!</v>
      </c>
      <c r="E1312" s="315" t="e">
        <f t="shared" si="20"/>
        <v>#REF!</v>
      </c>
    </row>
    <row r="1313" spans="1:5" x14ac:dyDescent="0.2">
      <c r="A1313" s="313">
        <v>1649100693</v>
      </c>
      <c r="B1313" s="313" t="s">
        <v>1061</v>
      </c>
      <c r="C1313" s="314">
        <v>460835</v>
      </c>
      <c r="D1313" s="313" t="e">
        <f>VLOOKUP(A1313,#REF!,4,FALSE)</f>
        <v>#REF!</v>
      </c>
      <c r="E1313" s="315" t="e">
        <f t="shared" si="20"/>
        <v>#REF!</v>
      </c>
    </row>
    <row r="1314" spans="1:5" x14ac:dyDescent="0.2">
      <c r="A1314" s="313" t="s">
        <v>277</v>
      </c>
      <c r="B1314" s="313" t="s">
        <v>1057</v>
      </c>
      <c r="C1314" s="314">
        <v>8941175</v>
      </c>
      <c r="D1314" s="313" t="e">
        <f>VLOOKUP(A1314,#REF!,4,FALSE)</f>
        <v>#REF!</v>
      </c>
      <c r="E1314" s="315" t="e">
        <f t="shared" si="20"/>
        <v>#REF!</v>
      </c>
    </row>
    <row r="1315" spans="1:5" x14ac:dyDescent="0.2">
      <c r="A1315" s="313" t="s">
        <v>1062</v>
      </c>
      <c r="B1315" s="313" t="s">
        <v>1063</v>
      </c>
      <c r="D1315" s="313" t="e">
        <f>VLOOKUP(A1315,#REF!,4,FALSE)</f>
        <v>#REF!</v>
      </c>
      <c r="E1315" s="315" t="e">
        <f t="shared" si="20"/>
        <v>#REF!</v>
      </c>
    </row>
    <row r="1316" spans="1:5" x14ac:dyDescent="0.2">
      <c r="A1316" s="313">
        <v>1649000694</v>
      </c>
      <c r="B1316" s="313" t="s">
        <v>1064</v>
      </c>
      <c r="C1316" s="314">
        <v>1818943</v>
      </c>
      <c r="D1316" s="313" t="e">
        <f>VLOOKUP(A1316,#REF!,4,FALSE)</f>
        <v>#REF!</v>
      </c>
      <c r="E1316" s="315" t="e">
        <f t="shared" si="20"/>
        <v>#REF!</v>
      </c>
    </row>
    <row r="1317" spans="1:5" x14ac:dyDescent="0.2">
      <c r="A1317" s="313">
        <v>1649000695</v>
      </c>
      <c r="B1317" s="313" t="s">
        <v>1065</v>
      </c>
      <c r="C1317" s="314">
        <v>245248</v>
      </c>
      <c r="D1317" s="313" t="e">
        <f>VLOOKUP(A1317,#REF!,4,FALSE)</f>
        <v>#REF!</v>
      </c>
      <c r="E1317" s="315" t="e">
        <f t="shared" si="20"/>
        <v>#REF!</v>
      </c>
    </row>
    <row r="1318" spans="1:5" x14ac:dyDescent="0.2">
      <c r="A1318" s="313">
        <v>1649000696</v>
      </c>
      <c r="B1318" s="313" t="s">
        <v>1066</v>
      </c>
      <c r="C1318" s="314">
        <v>40398</v>
      </c>
      <c r="D1318" s="313" t="e">
        <f>VLOOKUP(A1318,#REF!,4,FALSE)</f>
        <v>#REF!</v>
      </c>
      <c r="E1318" s="315" t="e">
        <f t="shared" si="20"/>
        <v>#REF!</v>
      </c>
    </row>
    <row r="1319" spans="1:5" x14ac:dyDescent="0.2">
      <c r="A1319" s="313" t="s">
        <v>277</v>
      </c>
      <c r="B1319" s="313" t="s">
        <v>1063</v>
      </c>
      <c r="C1319" s="314">
        <v>2104589</v>
      </c>
      <c r="D1319" s="313" t="e">
        <f>VLOOKUP(A1319,#REF!,4,FALSE)</f>
        <v>#REF!</v>
      </c>
      <c r="E1319" s="315" t="e">
        <f t="shared" si="20"/>
        <v>#REF!</v>
      </c>
    </row>
    <row r="1320" spans="1:5" x14ac:dyDescent="0.2">
      <c r="A1320" s="313" t="s">
        <v>277</v>
      </c>
      <c r="B1320" s="313" t="s">
        <v>1057</v>
      </c>
      <c r="C1320" s="314">
        <v>11045764</v>
      </c>
      <c r="D1320" s="313" t="e">
        <f>VLOOKUP(A1320,#REF!,4,FALSE)</f>
        <v>#REF!</v>
      </c>
      <c r="E1320" s="315" t="e">
        <f t="shared" si="20"/>
        <v>#REF!</v>
      </c>
    </row>
    <row r="1321" spans="1:5" x14ac:dyDescent="0.2">
      <c r="A1321" s="313" t="s">
        <v>1067</v>
      </c>
      <c r="B1321" s="313" t="s">
        <v>1068</v>
      </c>
      <c r="D1321" s="313" t="e">
        <f>VLOOKUP(A1321,#REF!,4,FALSE)</f>
        <v>#REF!</v>
      </c>
      <c r="E1321" s="315" t="e">
        <f t="shared" si="20"/>
        <v>#REF!</v>
      </c>
    </row>
    <row r="1322" spans="1:5" x14ac:dyDescent="0.2">
      <c r="A1322" s="313">
        <v>1631000610</v>
      </c>
      <c r="B1322" s="313" t="s">
        <v>1069</v>
      </c>
      <c r="C1322" s="314">
        <v>600000</v>
      </c>
      <c r="D1322" s="313" t="e">
        <f>VLOOKUP(A1322,#REF!,4,FALSE)</f>
        <v>#REF!</v>
      </c>
      <c r="E1322" s="315" t="e">
        <f t="shared" si="20"/>
        <v>#REF!</v>
      </c>
    </row>
    <row r="1323" spans="1:5" x14ac:dyDescent="0.2">
      <c r="A1323" s="313">
        <v>1631100610</v>
      </c>
      <c r="B1323" s="313" t="s">
        <v>1070</v>
      </c>
      <c r="C1323" s="314">
        <v>160000</v>
      </c>
      <c r="D1323" s="313" t="e">
        <f>VLOOKUP(A1323,#REF!,4,FALSE)</f>
        <v>#REF!</v>
      </c>
      <c r="E1323" s="315" t="e">
        <f t="shared" si="20"/>
        <v>#REF!</v>
      </c>
    </row>
    <row r="1324" spans="1:5" x14ac:dyDescent="0.2">
      <c r="A1324" s="313">
        <v>1632000620</v>
      </c>
      <c r="B1324" s="313" t="s">
        <v>1071</v>
      </c>
      <c r="C1324" s="314">
        <v>200000</v>
      </c>
      <c r="D1324" s="313" t="e">
        <f>VLOOKUP(A1324,#REF!,4,FALSE)</f>
        <v>#REF!</v>
      </c>
      <c r="E1324" s="315" t="e">
        <f t="shared" si="20"/>
        <v>#REF!</v>
      </c>
    </row>
    <row r="1325" spans="1:5" x14ac:dyDescent="0.2">
      <c r="A1325" s="313">
        <v>1632000623</v>
      </c>
      <c r="B1325" s="313" t="s">
        <v>1072</v>
      </c>
      <c r="C1325" s="314">
        <v>700000</v>
      </c>
      <c r="D1325" s="313" t="e">
        <f>VLOOKUP(A1325,#REF!,4,FALSE)</f>
        <v>#REF!</v>
      </c>
      <c r="E1325" s="315" t="e">
        <f t="shared" si="20"/>
        <v>#REF!</v>
      </c>
    </row>
    <row r="1326" spans="1:5" x14ac:dyDescent="0.2">
      <c r="A1326" s="313" t="s">
        <v>277</v>
      </c>
      <c r="B1326" s="313" t="s">
        <v>1068</v>
      </c>
      <c r="C1326" s="314">
        <v>1660000</v>
      </c>
      <c r="D1326" s="313" t="e">
        <f>VLOOKUP(A1326,#REF!,4,FALSE)</f>
        <v>#REF!</v>
      </c>
      <c r="E1326" s="315" t="e">
        <f t="shared" si="20"/>
        <v>#REF!</v>
      </c>
    </row>
    <row r="1327" spans="1:5" x14ac:dyDescent="0.2">
      <c r="A1327" s="313" t="s">
        <v>1073</v>
      </c>
      <c r="B1327" s="313" t="s">
        <v>1074</v>
      </c>
      <c r="D1327" s="313" t="e">
        <f>VLOOKUP(A1327,#REF!,4,FALSE)</f>
        <v>#REF!</v>
      </c>
      <c r="E1327" s="315" t="e">
        <f t="shared" si="20"/>
        <v>#REF!</v>
      </c>
    </row>
    <row r="1328" spans="1:5" x14ac:dyDescent="0.2">
      <c r="A1328" s="313">
        <v>1991000523</v>
      </c>
      <c r="B1328" s="313" t="s">
        <v>1075</v>
      </c>
      <c r="C1328" s="314">
        <v>588534</v>
      </c>
      <c r="D1328" s="313" t="e">
        <f>VLOOKUP(A1328,#REF!,4,FALSE)</f>
        <v>#REF!</v>
      </c>
      <c r="E1328" s="315" t="e">
        <f t="shared" si="20"/>
        <v>#REF!</v>
      </c>
    </row>
    <row r="1329" spans="1:5" x14ac:dyDescent="0.2">
      <c r="A1329" s="313">
        <v>1993000980</v>
      </c>
      <c r="B1329" s="313" t="s">
        <v>1076</v>
      </c>
      <c r="C1329" s="314">
        <v>792638</v>
      </c>
      <c r="D1329" s="313" t="e">
        <f>VLOOKUP(A1329,#REF!,4,FALSE)</f>
        <v>#REF!</v>
      </c>
      <c r="E1329" s="315" t="e">
        <f t="shared" si="20"/>
        <v>#REF!</v>
      </c>
    </row>
    <row r="1330" spans="1:5" x14ac:dyDescent="0.2">
      <c r="A1330" s="313" t="s">
        <v>277</v>
      </c>
      <c r="B1330" s="313" t="s">
        <v>1074</v>
      </c>
      <c r="C1330" s="314">
        <v>1381172</v>
      </c>
      <c r="D1330" s="313" t="e">
        <f>VLOOKUP(A1330,#REF!,4,FALSE)</f>
        <v>#REF!</v>
      </c>
      <c r="E1330" s="315" t="e">
        <f t="shared" si="20"/>
        <v>#REF!</v>
      </c>
    </row>
    <row r="1331" spans="1:5" x14ac:dyDescent="0.2">
      <c r="A1331" s="313" t="s">
        <v>277</v>
      </c>
      <c r="B1331" s="313" t="s">
        <v>507</v>
      </c>
      <c r="C1331" s="314">
        <v>368561484</v>
      </c>
      <c r="D1331" s="313" t="e">
        <f>VLOOKUP(A1331,#REF!,4,FALSE)</f>
        <v>#REF!</v>
      </c>
      <c r="E1331" s="315" t="e">
        <f t="shared" si="20"/>
        <v>#REF!</v>
      </c>
    </row>
    <row r="1332" spans="1:5" x14ac:dyDescent="0.2">
      <c r="A1332" s="313" t="s">
        <v>1454</v>
      </c>
      <c r="B1332" s="313" t="s">
        <v>1077</v>
      </c>
      <c r="D1332" s="313" t="e">
        <f>VLOOKUP(A1332,#REF!,4,FALSE)</f>
        <v>#REF!</v>
      </c>
      <c r="E1332" s="315" t="e">
        <f t="shared" si="20"/>
        <v>#REF!</v>
      </c>
    </row>
    <row r="1333" spans="1:5" x14ac:dyDescent="0.2">
      <c r="A1333" s="313">
        <v>1995000860</v>
      </c>
      <c r="B1333" s="313" t="s">
        <v>1078</v>
      </c>
      <c r="C1333" s="314">
        <v>20300000</v>
      </c>
      <c r="D1333" s="313" t="e">
        <f>VLOOKUP(A1333,#REF!,4,FALSE)</f>
        <v>#REF!</v>
      </c>
      <c r="E1333" s="315" t="e">
        <f t="shared" si="20"/>
        <v>#REF!</v>
      </c>
    </row>
    <row r="1334" spans="1:5" x14ac:dyDescent="0.2">
      <c r="A1334" s="313" t="s">
        <v>277</v>
      </c>
      <c r="B1334" s="313" t="s">
        <v>1077</v>
      </c>
      <c r="C1334" s="314">
        <v>20300000</v>
      </c>
      <c r="D1334" s="313" t="e">
        <f>VLOOKUP(A1334,#REF!,4,FALSE)</f>
        <v>#REF!</v>
      </c>
      <c r="E1334" s="315" t="e">
        <f t="shared" si="20"/>
        <v>#REF!</v>
      </c>
    </row>
    <row r="1335" spans="1:5" x14ac:dyDescent="0.2">
      <c r="A1335" s="313" t="s">
        <v>277</v>
      </c>
      <c r="B1335" s="313" t="s">
        <v>506</v>
      </c>
      <c r="C1335" s="314">
        <v>388861484</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FF00"/>
    <pageSetUpPr fitToPage="1"/>
  </sheetPr>
  <dimension ref="A1:U353"/>
  <sheetViews>
    <sheetView rightToLeft="1" view="pageBreakPreview" zoomScale="85" zoomScaleNormal="100" zoomScaleSheetLayoutView="85" workbookViewId="0">
      <pane ySplit="2" topLeftCell="A181" activePane="bottomLeft" state="frozen"/>
      <selection pane="bottomLeft" activeCell="F185" sqref="F185"/>
    </sheetView>
  </sheetViews>
  <sheetFormatPr baseColWidth="10" defaultColWidth="9.1640625" defaultRowHeight="15" x14ac:dyDescent="0.2"/>
  <cols>
    <col min="1" max="1" width="14.1640625" style="289" bestFit="1" customWidth="1"/>
    <col min="2" max="2" width="43.5" style="289" bestFit="1" customWidth="1"/>
    <col min="3" max="3" width="15.6640625" style="290" bestFit="1" customWidth="1"/>
    <col min="4" max="4" width="11.5" style="290" bestFit="1" customWidth="1"/>
    <col min="5" max="5" width="10.5" style="290" bestFit="1" customWidth="1"/>
    <col min="6" max="6" width="15.5" style="290" bestFit="1" customWidth="1"/>
    <col min="7" max="7" width="15.5" style="293" bestFit="1" customWidth="1"/>
    <col min="8" max="8" width="15.5" style="290" hidden="1" customWidth="1"/>
    <col min="9" max="9" width="18.33203125" style="289" customWidth="1"/>
    <col min="10" max="10" width="15.5" style="290" bestFit="1" customWidth="1"/>
    <col min="11" max="11" width="14.1640625" style="289" customWidth="1"/>
    <col min="12" max="14" width="9.1640625" style="289"/>
    <col min="15" max="15" width="3" style="289" customWidth="1"/>
    <col min="16" max="17" width="10.33203125" style="289" hidden="1" customWidth="1"/>
    <col min="18" max="16384" width="9.1640625" style="289"/>
  </cols>
  <sheetData>
    <row r="1" spans="1:11" x14ac:dyDescent="0.2">
      <c r="A1" s="289" t="s">
        <v>266</v>
      </c>
      <c r="B1" s="289" t="s">
        <v>267</v>
      </c>
      <c r="D1" s="360"/>
      <c r="E1" s="360"/>
      <c r="F1" s="360"/>
      <c r="G1" s="360"/>
      <c r="H1" s="360"/>
      <c r="I1" s="360"/>
    </row>
    <row r="2" spans="1:11" ht="64" x14ac:dyDescent="0.2">
      <c r="A2" s="289" t="s">
        <v>295</v>
      </c>
      <c r="B2" s="289" t="s">
        <v>296</v>
      </c>
      <c r="D2" s="291" t="s">
        <v>1944</v>
      </c>
      <c r="E2" s="291" t="s">
        <v>1945</v>
      </c>
      <c r="F2" s="291"/>
      <c r="G2" s="292" t="s">
        <v>1946</v>
      </c>
      <c r="H2" s="291" t="s">
        <v>1947</v>
      </c>
      <c r="J2" s="291"/>
      <c r="K2" s="291"/>
    </row>
    <row r="3" spans="1:11" x14ac:dyDescent="0.2">
      <c r="A3" s="289">
        <v>1341000690</v>
      </c>
      <c r="B3" s="289" t="s">
        <v>1536</v>
      </c>
      <c r="F3" s="290">
        <v>0</v>
      </c>
      <c r="G3" s="293">
        <v>0</v>
      </c>
      <c r="K3" s="294"/>
    </row>
    <row r="4" spans="1:11" x14ac:dyDescent="0.2">
      <c r="A4" s="289">
        <v>1342400420</v>
      </c>
      <c r="B4" s="289" t="s">
        <v>1407</v>
      </c>
      <c r="F4" s="290">
        <v>1000</v>
      </c>
      <c r="G4" s="293">
        <f>F4+C4</f>
        <v>1000</v>
      </c>
      <c r="H4" s="290">
        <v>1047</v>
      </c>
      <c r="K4" s="294"/>
    </row>
    <row r="5" spans="1:11" x14ac:dyDescent="0.2">
      <c r="A5" s="289">
        <v>1343500420</v>
      </c>
      <c r="B5" s="289" t="s">
        <v>1191</v>
      </c>
      <c r="F5" s="290">
        <v>2000</v>
      </c>
      <c r="G5" s="293">
        <f t="shared" ref="G5:G20" si="0">F5+C5</f>
        <v>2000</v>
      </c>
      <c r="H5" s="290">
        <v>2131</v>
      </c>
      <c r="K5" s="294"/>
    </row>
    <row r="6" spans="1:11" x14ac:dyDescent="0.2">
      <c r="A6" s="289">
        <v>1343523410</v>
      </c>
      <c r="B6" s="289" t="s">
        <v>298</v>
      </c>
      <c r="F6" s="290">
        <f>100000/8*12+7000</f>
        <v>157000</v>
      </c>
      <c r="G6" s="293">
        <f t="shared" si="0"/>
        <v>157000</v>
      </c>
      <c r="H6" s="290">
        <v>154795</v>
      </c>
      <c r="K6" s="294"/>
    </row>
    <row r="7" spans="1:11" x14ac:dyDescent="0.2">
      <c r="A7" s="289">
        <v>1345300930</v>
      </c>
      <c r="B7" s="289" t="s">
        <v>298</v>
      </c>
      <c r="F7" s="290">
        <v>0</v>
      </c>
      <c r="G7" s="293">
        <f t="shared" si="0"/>
        <v>0</v>
      </c>
      <c r="H7" s="290">
        <v>7965</v>
      </c>
      <c r="K7" s="294"/>
    </row>
    <row r="8" spans="1:11" x14ac:dyDescent="0.2">
      <c r="A8" s="289">
        <v>1343800420</v>
      </c>
      <c r="B8" s="289" t="s">
        <v>299</v>
      </c>
      <c r="F8" s="290">
        <f>23000/8*12</f>
        <v>34500</v>
      </c>
      <c r="G8" s="293">
        <f t="shared" si="0"/>
        <v>34500</v>
      </c>
      <c r="H8" s="290">
        <v>20799</v>
      </c>
      <c r="K8" s="294"/>
    </row>
    <row r="9" spans="1:11" x14ac:dyDescent="0.2">
      <c r="A9" s="289">
        <v>1343800421</v>
      </c>
      <c r="B9" s="289" t="s">
        <v>1192</v>
      </c>
      <c r="F9" s="290">
        <v>0</v>
      </c>
      <c r="G9" s="293">
        <f t="shared" si="0"/>
        <v>0</v>
      </c>
      <c r="K9" s="294"/>
    </row>
    <row r="10" spans="1:11" x14ac:dyDescent="0.2">
      <c r="A10" s="289">
        <v>1344300420</v>
      </c>
      <c r="B10" s="289" t="s">
        <v>300</v>
      </c>
      <c r="F10" s="290">
        <f>328000/8*12</f>
        <v>492000</v>
      </c>
      <c r="G10" s="293">
        <f t="shared" si="0"/>
        <v>492000</v>
      </c>
      <c r="H10" s="290">
        <v>510398</v>
      </c>
      <c r="K10" s="294"/>
    </row>
    <row r="11" spans="1:11" x14ac:dyDescent="0.2">
      <c r="A11" s="289">
        <v>1344300421</v>
      </c>
      <c r="B11" s="289" t="s">
        <v>301</v>
      </c>
      <c r="F11" s="290">
        <f>15000/8*12</f>
        <v>22500</v>
      </c>
      <c r="G11" s="293">
        <f t="shared" si="0"/>
        <v>22500</v>
      </c>
      <c r="H11" s="290">
        <v>24931</v>
      </c>
      <c r="K11" s="294"/>
    </row>
    <row r="12" spans="1:11" x14ac:dyDescent="0.2">
      <c r="A12" s="289">
        <v>1344324410</v>
      </c>
      <c r="B12" s="289" t="s">
        <v>1193</v>
      </c>
      <c r="F12" s="290">
        <v>0</v>
      </c>
      <c r="G12" s="293">
        <f t="shared" si="0"/>
        <v>0</v>
      </c>
      <c r="K12" s="294"/>
    </row>
    <row r="13" spans="1:11" x14ac:dyDescent="0.2">
      <c r="A13" s="289">
        <v>1344500420</v>
      </c>
      <c r="B13" s="289" t="s">
        <v>302</v>
      </c>
      <c r="F13" s="290">
        <f>5000*12</f>
        <v>60000</v>
      </c>
      <c r="G13" s="293">
        <f t="shared" si="0"/>
        <v>60000</v>
      </c>
      <c r="H13" s="290">
        <v>71052</v>
      </c>
      <c r="I13" s="289" t="s">
        <v>1948</v>
      </c>
      <c r="K13" s="294"/>
    </row>
    <row r="14" spans="1:11" x14ac:dyDescent="0.2">
      <c r="A14" s="289">
        <v>1345100420</v>
      </c>
      <c r="B14" s="289" t="s">
        <v>1196</v>
      </c>
      <c r="F14" s="290">
        <v>1000</v>
      </c>
      <c r="G14" s="293">
        <f t="shared" si="0"/>
        <v>1000</v>
      </c>
      <c r="H14" s="290">
        <v>1000</v>
      </c>
      <c r="K14" s="294"/>
    </row>
    <row r="15" spans="1:11" x14ac:dyDescent="0.2">
      <c r="A15" s="289">
        <v>1345300420</v>
      </c>
      <c r="B15" s="289" t="s">
        <v>1197</v>
      </c>
      <c r="F15" s="290">
        <v>0</v>
      </c>
      <c r="G15" s="293">
        <f t="shared" si="0"/>
        <v>0</v>
      </c>
      <c r="K15" s="294"/>
    </row>
    <row r="16" spans="1:11" x14ac:dyDescent="0.2">
      <c r="A16" s="289">
        <v>1345523410</v>
      </c>
      <c r="B16" s="289" t="s">
        <v>298</v>
      </c>
      <c r="F16" s="290">
        <f>21000/8*12</f>
        <v>31500</v>
      </c>
      <c r="G16" s="293">
        <f t="shared" si="0"/>
        <v>31500</v>
      </c>
      <c r="H16" s="290">
        <v>31874</v>
      </c>
      <c r="K16" s="294"/>
    </row>
    <row r="17" spans="1:11" x14ac:dyDescent="0.2">
      <c r="A17" s="289">
        <v>1346700420</v>
      </c>
      <c r="B17" s="289" t="s">
        <v>303</v>
      </c>
      <c r="F17" s="290">
        <f>61000/8*12</f>
        <v>91500</v>
      </c>
      <c r="G17" s="293">
        <f t="shared" si="0"/>
        <v>91500</v>
      </c>
      <c r="H17" s="290">
        <v>91841</v>
      </c>
      <c r="K17" s="294"/>
    </row>
    <row r="18" spans="1:11" x14ac:dyDescent="0.2">
      <c r="A18" s="289">
        <v>1346900420</v>
      </c>
      <c r="B18" s="289" t="s">
        <v>1597</v>
      </c>
      <c r="F18" s="290">
        <v>0</v>
      </c>
      <c r="G18" s="293">
        <f t="shared" si="0"/>
        <v>0</v>
      </c>
      <c r="K18" s="294"/>
    </row>
    <row r="19" spans="1:11" x14ac:dyDescent="0.2">
      <c r="A19" s="289">
        <v>1349000422</v>
      </c>
      <c r="B19" s="289" t="s">
        <v>1200</v>
      </c>
      <c r="F19" s="290">
        <v>3000</v>
      </c>
      <c r="G19" s="293">
        <f t="shared" si="0"/>
        <v>3000</v>
      </c>
      <c r="H19" s="290">
        <v>4860</v>
      </c>
      <c r="K19" s="294"/>
    </row>
    <row r="20" spans="1:11" x14ac:dyDescent="0.2">
      <c r="A20" s="289">
        <v>1349002420</v>
      </c>
      <c r="B20" s="289" t="s">
        <v>1201</v>
      </c>
      <c r="F20" s="290">
        <v>4000</v>
      </c>
      <c r="G20" s="293">
        <f t="shared" si="0"/>
        <v>4000</v>
      </c>
      <c r="H20" s="290">
        <v>2799</v>
      </c>
      <c r="K20" s="294"/>
    </row>
    <row r="21" spans="1:11" s="295" customFormat="1" x14ac:dyDescent="0.2">
      <c r="A21" s="295" t="s">
        <v>277</v>
      </c>
      <c r="B21" s="295" t="s">
        <v>296</v>
      </c>
      <c r="C21" s="296">
        <f>SUM(C3:C20)</f>
        <v>0</v>
      </c>
      <c r="D21" s="296"/>
      <c r="E21" s="296"/>
      <c r="F21" s="296"/>
      <c r="G21" s="297">
        <f>SUM(G4:G20)</f>
        <v>900000</v>
      </c>
      <c r="H21" s="296">
        <f>SUM(H4:H20)</f>
        <v>925492</v>
      </c>
      <c r="J21" s="296"/>
      <c r="K21" s="298"/>
    </row>
    <row r="22" spans="1:11" x14ac:dyDescent="0.2">
      <c r="A22" s="289" t="s">
        <v>399</v>
      </c>
      <c r="B22" s="289" t="s">
        <v>400</v>
      </c>
      <c r="K22" s="294"/>
    </row>
    <row r="23" spans="1:11" x14ac:dyDescent="0.2">
      <c r="A23" s="289">
        <v>1341000930</v>
      </c>
      <c r="B23" s="289" t="s">
        <v>401</v>
      </c>
      <c r="G23" s="293">
        <f>VLOOKUP(A23,'[2]מרכזי רווח עדכני סעיפים'!$A$4:$H$500,8,FALSE)</f>
        <v>6428103</v>
      </c>
      <c r="K23" s="294"/>
    </row>
    <row r="24" spans="1:11" x14ac:dyDescent="0.2">
      <c r="A24" s="289">
        <v>1341000933</v>
      </c>
      <c r="B24" s="289" t="s">
        <v>402</v>
      </c>
      <c r="G24" s="293">
        <f>VLOOKUP(A24,'[2]מרכזי רווח עדכני סעיפים'!$A$4:$H$500,8,FALSE)</f>
        <v>7500</v>
      </c>
      <c r="I24" s="289" t="s">
        <v>1949</v>
      </c>
      <c r="K24" s="294"/>
    </row>
    <row r="25" spans="1:11" x14ac:dyDescent="0.2">
      <c r="A25" s="289">
        <v>1341000934</v>
      </c>
      <c r="B25" s="289" t="s">
        <v>403</v>
      </c>
      <c r="G25" s="293">
        <f>VLOOKUP(A25,'[2]מרכזי רווח עדכני סעיפים'!$A$4:$H$500,8,FALSE)</f>
        <v>127498</v>
      </c>
      <c r="K25" s="294"/>
    </row>
    <row r="26" spans="1:11" x14ac:dyDescent="0.2">
      <c r="A26" s="289">
        <v>1341000935</v>
      </c>
      <c r="B26" s="289" t="s">
        <v>1404</v>
      </c>
      <c r="I26" s="289" t="s">
        <v>1949</v>
      </c>
      <c r="K26" s="294"/>
    </row>
    <row r="27" spans="1:11" x14ac:dyDescent="0.2">
      <c r="A27" s="289">
        <v>1341000936</v>
      </c>
      <c r="B27" s="289" t="s">
        <v>404</v>
      </c>
      <c r="G27" s="293">
        <f>VLOOKUP(A27,'[2]מרכזי רווח עדכני סעיפים'!$A$4:$H$500,8,FALSE)</f>
        <v>24600</v>
      </c>
      <c r="K27" s="294"/>
    </row>
    <row r="28" spans="1:11" x14ac:dyDescent="0.2">
      <c r="A28" s="289">
        <v>1341000937</v>
      </c>
      <c r="B28" s="289" t="s">
        <v>405</v>
      </c>
      <c r="G28" s="293">
        <f>VLOOKUP(A28,'[2]מרכזי רווח עדכני סעיפים'!$A$4:$H$500,8,FALSE)</f>
        <v>15000</v>
      </c>
      <c r="K28" s="294"/>
    </row>
    <row r="29" spans="1:11" x14ac:dyDescent="0.2">
      <c r="A29" s="289">
        <v>1341000938</v>
      </c>
      <c r="B29" s="289" t="s">
        <v>1487</v>
      </c>
      <c r="G29" s="293">
        <f>VLOOKUP(A29,'[2]מרכזי רווח עדכני סעיפים'!$A$4:$H$500,8,FALSE)</f>
        <v>253200</v>
      </c>
      <c r="K29" s="294"/>
    </row>
    <row r="30" spans="1:11" x14ac:dyDescent="0.2">
      <c r="A30" s="289">
        <v>1341000939</v>
      </c>
      <c r="B30" s="289" t="s">
        <v>1591</v>
      </c>
      <c r="I30" s="289" t="s">
        <v>1949</v>
      </c>
      <c r="K30" s="294"/>
    </row>
    <row r="31" spans="1:11" x14ac:dyDescent="0.2">
      <c r="A31" s="289">
        <v>1342200930</v>
      </c>
      <c r="B31" s="289" t="s">
        <v>406</v>
      </c>
      <c r="G31" s="293">
        <f>VLOOKUP(A31,'[2]מרכזי רווח עדכני סעיפים'!$A$4:$H$500,8,FALSE)</f>
        <v>125999.99999999999</v>
      </c>
      <c r="K31" s="294"/>
    </row>
    <row r="32" spans="1:11" x14ac:dyDescent="0.2">
      <c r="A32" s="289">
        <v>1342200931</v>
      </c>
      <c r="B32" s="289" t="s">
        <v>1252</v>
      </c>
      <c r="I32" s="289" t="s">
        <v>1949</v>
      </c>
      <c r="K32" s="294"/>
    </row>
    <row r="33" spans="1:11" x14ac:dyDescent="0.2">
      <c r="A33" s="289">
        <v>1342200933</v>
      </c>
      <c r="B33" s="289" t="s">
        <v>407</v>
      </c>
      <c r="G33" s="293">
        <f>VLOOKUP(A33,'[2]מרכזי רווח עדכני סעיפים'!$A$4:$H$500,8,FALSE)</f>
        <v>112000</v>
      </c>
      <c r="K33" s="294"/>
    </row>
    <row r="34" spans="1:11" x14ac:dyDescent="0.2">
      <c r="A34" s="289">
        <v>1342200934</v>
      </c>
      <c r="B34" s="289" t="s">
        <v>408</v>
      </c>
      <c r="G34" s="293">
        <f>VLOOKUP(A34,'[2]מרכזי רווח עדכני סעיפים'!$A$4:$H$500,8,FALSE)</f>
        <v>141004.80000000002</v>
      </c>
      <c r="K34" s="294"/>
    </row>
    <row r="35" spans="1:11" x14ac:dyDescent="0.2">
      <c r="A35" s="289">
        <v>1342200936</v>
      </c>
      <c r="B35" s="289" t="s">
        <v>409</v>
      </c>
      <c r="G35" s="293">
        <f>VLOOKUP(A35,'[2]מרכזי רווח עדכני סעיפים'!$A$4:$H$500,8,FALSE)</f>
        <v>75000</v>
      </c>
      <c r="K35" s="294"/>
    </row>
    <row r="36" spans="1:11" x14ac:dyDescent="0.2">
      <c r="A36" s="289">
        <v>1342200937</v>
      </c>
      <c r="B36" s="289" t="s">
        <v>1485</v>
      </c>
      <c r="G36" s="293">
        <f>VLOOKUP(A36,'[2]מרכזי רווח עדכני סעיפים'!$A$4:$H$500,8,FALSE)</f>
        <v>7500</v>
      </c>
      <c r="K36" s="294"/>
    </row>
    <row r="37" spans="1:11" x14ac:dyDescent="0.2">
      <c r="A37" s="289">
        <v>1342200938</v>
      </c>
      <c r="B37" s="289" t="s">
        <v>1406</v>
      </c>
      <c r="I37" s="289" t="s">
        <v>1949</v>
      </c>
      <c r="K37" s="294"/>
    </row>
    <row r="38" spans="1:11" x14ac:dyDescent="0.2">
      <c r="A38" s="289">
        <v>1342200939</v>
      </c>
      <c r="B38" s="289" t="s">
        <v>93</v>
      </c>
      <c r="I38" s="289" t="s">
        <v>1949</v>
      </c>
      <c r="K38" s="294"/>
    </row>
    <row r="39" spans="1:11" x14ac:dyDescent="0.2">
      <c r="A39" s="289">
        <v>1342400931</v>
      </c>
      <c r="B39" s="289" t="s">
        <v>410</v>
      </c>
      <c r="G39" s="293">
        <f>VLOOKUP(A39,'[2]מרכזי רווח עדכני סעיפים'!$A$4:$H$500,8,FALSE)</f>
        <v>30000</v>
      </c>
      <c r="K39" s="294"/>
    </row>
    <row r="40" spans="1:11" x14ac:dyDescent="0.2">
      <c r="A40" s="289">
        <v>1342400935</v>
      </c>
      <c r="B40" s="289" t="s">
        <v>411</v>
      </c>
      <c r="G40" s="293">
        <f>VLOOKUP(A40,'[2]מרכזי רווח עדכני סעיפים'!$A$4:$H$500,8,FALSE)</f>
        <v>108000</v>
      </c>
      <c r="K40" s="294"/>
    </row>
    <row r="41" spans="1:11" x14ac:dyDescent="0.2">
      <c r="A41" s="289">
        <v>1342400937</v>
      </c>
      <c r="B41" s="289" t="s">
        <v>1592</v>
      </c>
      <c r="G41" s="293">
        <f>VLOOKUP(A41,'[2]מרכזי רווח עדכני סעיפים'!$A$4:$H$500,8,FALSE)</f>
        <v>9000</v>
      </c>
      <c r="K41" s="294"/>
    </row>
    <row r="42" spans="1:11" x14ac:dyDescent="0.2">
      <c r="A42" s="289">
        <v>1342401930</v>
      </c>
      <c r="B42" s="289" t="s">
        <v>412</v>
      </c>
      <c r="G42" s="293">
        <f>VLOOKUP(A42,'[2]מרכזי רווח עדכני סעיפים'!$A$4:$H$500,8,FALSE)</f>
        <v>145800</v>
      </c>
      <c r="K42" s="294"/>
    </row>
    <row r="43" spans="1:11" x14ac:dyDescent="0.2">
      <c r="A43" s="289">
        <v>1342401931</v>
      </c>
      <c r="B43" s="289" t="s">
        <v>1549</v>
      </c>
      <c r="G43" s="293">
        <f>VLOOKUP(A43,'[2]מרכזי רווח עדכני סעיפים'!$A$4:$H$500,8,FALSE)</f>
        <v>112500</v>
      </c>
      <c r="K43" s="294"/>
    </row>
    <row r="44" spans="1:11" x14ac:dyDescent="0.2">
      <c r="A44" s="289">
        <v>1343500930</v>
      </c>
      <c r="B44" s="289" t="s">
        <v>57</v>
      </c>
      <c r="G44" s="293">
        <f>VLOOKUP(A44,'[2]מרכזי רווח עדכני סעיפים'!$A$4:$H$500,8,FALSE)</f>
        <v>16413.84</v>
      </c>
      <c r="K44" s="294"/>
    </row>
    <row r="45" spans="1:11" x14ac:dyDescent="0.2">
      <c r="A45" s="289">
        <v>1343500931</v>
      </c>
      <c r="B45" s="289" t="s">
        <v>413</v>
      </c>
      <c r="G45" s="293">
        <f>VLOOKUP(A45,'[2]מרכזי רווח עדכני סעיפים'!$A$4:$H$500,8,FALSE)</f>
        <v>220870.8</v>
      </c>
      <c r="K45" s="294"/>
    </row>
    <row r="46" spans="1:11" x14ac:dyDescent="0.2">
      <c r="A46" s="289">
        <v>1343500932</v>
      </c>
      <c r="B46" s="289" t="s">
        <v>414</v>
      </c>
      <c r="G46" s="293">
        <f>'[2]מרכזי רווח עדכני סעיפים'!G78</f>
        <v>653346</v>
      </c>
      <c r="I46" s="289" t="s">
        <v>1950</v>
      </c>
      <c r="K46" s="294"/>
    </row>
    <row r="47" spans="1:11" x14ac:dyDescent="0.2">
      <c r="A47" s="289">
        <v>1343500934</v>
      </c>
      <c r="B47" s="289" t="s">
        <v>415</v>
      </c>
      <c r="G47" s="293">
        <f>VLOOKUP(A47,'[2]מרכזי רווח עדכני סעיפים'!$A$4:$H$500,8,FALSE)</f>
        <v>385668</v>
      </c>
      <c r="K47" s="294"/>
    </row>
    <row r="48" spans="1:11" x14ac:dyDescent="0.2">
      <c r="A48" s="289">
        <v>1343500935</v>
      </c>
      <c r="B48" s="289" t="s">
        <v>416</v>
      </c>
      <c r="G48" s="293">
        <f>VLOOKUP(A48,'[2]מרכזי רווח עדכני סעיפים'!$A$4:$H$500,8,FALSE)</f>
        <v>81168</v>
      </c>
      <c r="K48" s="294"/>
    </row>
    <row r="49" spans="1:11" x14ac:dyDescent="0.2">
      <c r="A49" s="289">
        <v>1343500937</v>
      </c>
      <c r="B49" s="289" t="s">
        <v>417</v>
      </c>
      <c r="G49" s="293">
        <f>VLOOKUP(A49,'[2]מרכזי רווח עדכני סעיפים'!$A$4:$H$500,8,FALSE)</f>
        <v>30000</v>
      </c>
      <c r="K49" s="294"/>
    </row>
    <row r="50" spans="1:11" x14ac:dyDescent="0.2">
      <c r="A50" s="289">
        <v>1343500939</v>
      </c>
      <c r="B50" s="289" t="s">
        <v>418</v>
      </c>
      <c r="G50" s="293">
        <f>VLOOKUP(A50,'[2]מרכזי רווח עדכני סעיפים'!$A$4:$H$500,8,FALSE)</f>
        <v>120000</v>
      </c>
      <c r="K50" s="294"/>
    </row>
    <row r="51" spans="1:11" x14ac:dyDescent="0.2">
      <c r="A51" s="289">
        <v>1343500940</v>
      </c>
      <c r="B51" s="289" t="s">
        <v>58</v>
      </c>
      <c r="G51" s="293">
        <f>VLOOKUP(A51,'[2]מרכזי רווח עדכני סעיפים'!$A$4:$H$500,8,FALSE)</f>
        <v>0</v>
      </c>
      <c r="I51" s="289" t="s">
        <v>1949</v>
      </c>
      <c r="K51" s="294"/>
    </row>
    <row r="52" spans="1:11" x14ac:dyDescent="0.2">
      <c r="A52" s="289">
        <v>1343500941</v>
      </c>
      <c r="B52" s="289" t="s">
        <v>1593</v>
      </c>
      <c r="G52" s="293">
        <f>VLOOKUP(A52,'[2]מרכזי רווח עדכני סעיפים'!$A$4:$H$500,8,FALSE)</f>
        <v>0</v>
      </c>
      <c r="I52" s="289" t="s">
        <v>1949</v>
      </c>
      <c r="K52" s="294"/>
    </row>
    <row r="53" spans="1:11" x14ac:dyDescent="0.2">
      <c r="K53" s="294"/>
    </row>
    <row r="54" spans="1:11" x14ac:dyDescent="0.2">
      <c r="A54" s="289">
        <v>1343800930</v>
      </c>
      <c r="B54" s="289" t="s">
        <v>419</v>
      </c>
      <c r="G54" s="293">
        <f>VLOOKUP(A54,'[2]מרכזי רווח עדכני סעיפים'!$A$4:$H$500,8,FALSE)</f>
        <v>4117340.1599999997</v>
      </c>
      <c r="K54" s="294"/>
    </row>
    <row r="55" spans="1:11" x14ac:dyDescent="0.2">
      <c r="A55" s="289">
        <v>1343800935</v>
      </c>
      <c r="B55" s="289" t="s">
        <v>420</v>
      </c>
      <c r="G55" s="293">
        <f>VLOOKUP(A55,'[2]מרכזי רווח עדכני סעיפים'!$A$4:$H$500,8,FALSE)</f>
        <v>183870</v>
      </c>
      <c r="K55" s="294"/>
    </row>
    <row r="56" spans="1:11" x14ac:dyDescent="0.2">
      <c r="A56" s="289">
        <v>1343900930</v>
      </c>
      <c r="B56" s="289" t="s">
        <v>421</v>
      </c>
      <c r="G56" s="293">
        <f>VLOOKUP(A56,'[2]מרכזי רווח עדכני סעיפים'!$A$4:$H$500,8,FALSE)</f>
        <v>2611159.2000000002</v>
      </c>
      <c r="K56" s="294"/>
    </row>
    <row r="57" spans="1:11" x14ac:dyDescent="0.2">
      <c r="A57" s="289">
        <v>1344300930</v>
      </c>
      <c r="B57" s="289" t="s">
        <v>300</v>
      </c>
      <c r="G57" s="293">
        <f>VLOOKUP(A57,'[2]מרכזי רווח עדכני סעיפים'!$A$4:$H$500,8,FALSE)</f>
        <v>4303446.3</v>
      </c>
      <c r="K57" s="294"/>
    </row>
    <row r="58" spans="1:11" x14ac:dyDescent="0.2">
      <c r="A58" s="289">
        <v>1344300932</v>
      </c>
      <c r="B58" s="289" t="s">
        <v>59</v>
      </c>
      <c r="G58" s="293">
        <f>VLOOKUP(A58,'[2]מרכזי רווח עדכני סעיפים'!$A$4:$H$500,8,FALSE)</f>
        <v>0</v>
      </c>
      <c r="I58" s="289" t="s">
        <v>1949</v>
      </c>
      <c r="K58" s="294"/>
    </row>
    <row r="59" spans="1:11" x14ac:dyDescent="0.2">
      <c r="A59" s="289">
        <v>1344400931</v>
      </c>
      <c r="B59" s="289" t="s">
        <v>422</v>
      </c>
      <c r="G59" s="293">
        <f>VLOOKUP(A59,'[2]מרכזי רווח עדכני סעיפים'!$A$4:$H$500,8,FALSE)</f>
        <v>100000</v>
      </c>
      <c r="K59" s="294"/>
    </row>
    <row r="60" spans="1:11" x14ac:dyDescent="0.2">
      <c r="A60" s="289">
        <v>1344400932</v>
      </c>
      <c r="B60" s="289" t="s">
        <v>423</v>
      </c>
      <c r="G60" s="293">
        <f>VLOOKUP(A60,'[2]מרכזי רווח עדכני סעיפים'!$A$4:$H$500,8,FALSE)</f>
        <v>154000</v>
      </c>
      <c r="K60" s="294"/>
    </row>
    <row r="61" spans="1:11" x14ac:dyDescent="0.2">
      <c r="A61" s="289">
        <v>1344400933</v>
      </c>
      <c r="B61" s="289" t="s">
        <v>1194</v>
      </c>
      <c r="G61" s="293">
        <f>VLOOKUP(A61,'[2]מרכזי רווח עדכני סעיפים'!$A$4:$H$500,8,FALSE)</f>
        <v>0</v>
      </c>
      <c r="I61" s="289" t="s">
        <v>1949</v>
      </c>
      <c r="K61" s="294"/>
    </row>
    <row r="62" spans="1:11" x14ac:dyDescent="0.2">
      <c r="A62" s="289">
        <v>1344400934</v>
      </c>
      <c r="B62" s="289" t="s">
        <v>424</v>
      </c>
      <c r="G62" s="293">
        <f>VLOOKUP(A62,'[2]מרכזי רווח עדכני סעיפים'!$A$4:$H$500,8,FALSE)</f>
        <v>257156</v>
      </c>
      <c r="K62" s="294"/>
    </row>
    <row r="63" spans="1:11" x14ac:dyDescent="0.2">
      <c r="A63" s="289">
        <v>1344400935</v>
      </c>
      <c r="B63" s="289" t="s">
        <v>425</v>
      </c>
      <c r="G63" s="293">
        <f>VLOOKUP(A63,'[2]מרכזי רווח עדכני סעיפים'!$A$4:$H$500,8,FALSE)</f>
        <v>22500</v>
      </c>
      <c r="K63" s="294"/>
    </row>
    <row r="64" spans="1:11" x14ac:dyDescent="0.2">
      <c r="A64" s="289">
        <v>1344400936</v>
      </c>
      <c r="B64" s="289" t="s">
        <v>60</v>
      </c>
      <c r="G64" s="293">
        <f>VLOOKUP(A64,'[2]מרכזי רווח עדכני סעיפים'!$A$4:$H$500,8,FALSE)</f>
        <v>0</v>
      </c>
      <c r="I64" s="289" t="s">
        <v>1949</v>
      </c>
      <c r="K64" s="294"/>
    </row>
    <row r="65" spans="1:11" x14ac:dyDescent="0.2">
      <c r="A65" s="289">
        <v>1344400939</v>
      </c>
      <c r="B65" s="289" t="s">
        <v>426</v>
      </c>
      <c r="G65" s="293">
        <f>VLOOKUP(A65,'[2]מרכזי רווח עדכני סעיפים'!$A$4:$H$500,8,FALSE)</f>
        <v>315000</v>
      </c>
      <c r="K65" s="294"/>
    </row>
    <row r="66" spans="1:11" x14ac:dyDescent="0.2">
      <c r="A66" s="289">
        <v>1344400943</v>
      </c>
      <c r="B66" s="289" t="s">
        <v>1951</v>
      </c>
      <c r="G66" s="293">
        <f>VLOOKUP(A66,'[2]מרכזי רווח עדכני סעיפים'!$A$4:$H$500,8,FALSE)</f>
        <v>100000</v>
      </c>
      <c r="K66" s="294"/>
    </row>
    <row r="67" spans="1:11" x14ac:dyDescent="0.2">
      <c r="A67" s="289">
        <v>1344400940</v>
      </c>
      <c r="B67" s="289" t="s">
        <v>1482</v>
      </c>
      <c r="G67" s="293">
        <f>VLOOKUP(A67,'[2]מרכזי רווח עדכני סעיפים'!$A$4:$H$500,8,FALSE)</f>
        <v>150000</v>
      </c>
      <c r="K67" s="294"/>
    </row>
    <row r="68" spans="1:11" x14ac:dyDescent="0.2">
      <c r="A68" s="289">
        <v>1344400941</v>
      </c>
      <c r="B68" s="289" t="s">
        <v>1594</v>
      </c>
      <c r="G68" s="293" t="str">
        <f>VLOOKUP(A68,'[2]מרכזי רווח עדכני סעיפים'!$A$4:$H$500,8,FALSE)</f>
        <v>לילך תבדוק האם ההחזר יהיה בסעיף אחר?שכר?</v>
      </c>
      <c r="K68" s="294"/>
    </row>
    <row r="69" spans="1:11" x14ac:dyDescent="0.2">
      <c r="A69" s="289">
        <v>1344500930</v>
      </c>
      <c r="B69" s="289" t="s">
        <v>427</v>
      </c>
      <c r="G69" s="293">
        <f>VLOOKUP(A69,'[2]מרכזי רווח עדכני סעיפים'!$A$4:$H$500,8,FALSE)</f>
        <v>416000</v>
      </c>
      <c r="K69" s="294"/>
    </row>
    <row r="70" spans="1:11" x14ac:dyDescent="0.2">
      <c r="A70" s="289">
        <v>1344500933</v>
      </c>
      <c r="B70" s="289" t="s">
        <v>1481</v>
      </c>
      <c r="I70" s="289" t="s">
        <v>1949</v>
      </c>
      <c r="K70" s="294"/>
    </row>
    <row r="71" spans="1:11" x14ac:dyDescent="0.2">
      <c r="A71" s="289">
        <v>1344500934</v>
      </c>
      <c r="B71" s="289" t="s">
        <v>428</v>
      </c>
      <c r="G71" s="293">
        <f>VLOOKUP(A71,'[2]מרכזי רווח עדכני סעיפים'!$A$4:$H$500,8,FALSE)</f>
        <v>215468.4</v>
      </c>
      <c r="K71" s="294"/>
    </row>
    <row r="72" spans="1:11" x14ac:dyDescent="0.2">
      <c r="A72" s="289">
        <v>1344500935</v>
      </c>
      <c r="B72" s="289" t="s">
        <v>1649</v>
      </c>
      <c r="G72" s="293">
        <f>VLOOKUP(A72,'[2]מרכזי רווח עדכני סעיפים'!$A$4:$H$500,8,FALSE)</f>
        <v>274093</v>
      </c>
      <c r="K72" s="294"/>
    </row>
    <row r="73" spans="1:11" x14ac:dyDescent="0.2">
      <c r="A73" s="289">
        <v>1345100932</v>
      </c>
      <c r="B73" s="289" t="s">
        <v>431</v>
      </c>
      <c r="G73" s="293">
        <f>VLOOKUP(A73,'[2]מרכזי רווח עדכני סעיפים'!$A$4:$H$500,8,FALSE)</f>
        <v>1248480</v>
      </c>
      <c r="K73" s="294"/>
    </row>
    <row r="74" spans="1:11" x14ac:dyDescent="0.2">
      <c r="A74" s="289">
        <v>1345100933</v>
      </c>
      <c r="B74" s="289" t="s">
        <v>432</v>
      </c>
      <c r="G74" s="293">
        <f>VLOOKUP(A74,'[2]מרכזי רווח עדכני סעיפים'!$A$4:$H$500,8,FALSE)</f>
        <v>57600</v>
      </c>
      <c r="K74" s="294"/>
    </row>
    <row r="75" spans="1:11" x14ac:dyDescent="0.2">
      <c r="A75" s="289">
        <v>1345100934</v>
      </c>
      <c r="B75" s="289" t="s">
        <v>1196</v>
      </c>
      <c r="G75" s="293">
        <f>VLOOKUP(A75,'[2]מרכזי רווח עדכני סעיפים'!$A$4:$H$500,8,FALSE)</f>
        <v>7500</v>
      </c>
      <c r="K75" s="294"/>
    </row>
    <row r="76" spans="1:11" x14ac:dyDescent="0.2">
      <c r="A76" s="289">
        <v>1345100935</v>
      </c>
      <c r="B76" s="289" t="s">
        <v>433</v>
      </c>
      <c r="G76" s="293">
        <f>VLOOKUP(A76,'[2]מרכזי רווח עדכני סעיפים'!$A$4:$H$500,8,FALSE)</f>
        <v>15440.76</v>
      </c>
      <c r="K76" s="294"/>
    </row>
    <row r="77" spans="1:11" x14ac:dyDescent="0.2">
      <c r="A77" s="289">
        <v>1345100936</v>
      </c>
      <c r="B77" s="289" t="s">
        <v>434</v>
      </c>
      <c r="G77" s="293">
        <f>VLOOKUP(A77,'[2]מרכזי רווח עדכני סעיפים'!$A$4:$H$500,8,FALSE)</f>
        <v>126300</v>
      </c>
      <c r="K77" s="294"/>
    </row>
    <row r="78" spans="1:11" x14ac:dyDescent="0.2">
      <c r="A78" s="289">
        <v>1345100937</v>
      </c>
      <c r="B78" s="289" t="s">
        <v>94</v>
      </c>
      <c r="G78" s="293">
        <f>VLOOKUP(A78,'[2]מרכזי רווח עדכני סעיפים'!$A$4:$H$500,8,FALSE)</f>
        <v>0</v>
      </c>
      <c r="I78" s="289" t="s">
        <v>1949</v>
      </c>
      <c r="K78" s="294"/>
    </row>
    <row r="79" spans="1:11" x14ac:dyDescent="0.2">
      <c r="A79" s="289">
        <v>1345100938</v>
      </c>
      <c r="B79" s="289" t="s">
        <v>1412</v>
      </c>
      <c r="G79" s="293">
        <f>VLOOKUP(A79,'[2]מרכזי רווח עדכני סעיפים'!$A$4:$H$500,8,FALSE)</f>
        <v>75536.9568</v>
      </c>
      <c r="K79" s="294"/>
    </row>
    <row r="80" spans="1:11" x14ac:dyDescent="0.2">
      <c r="A80" s="289">
        <v>1345100939</v>
      </c>
      <c r="B80" s="289" t="s">
        <v>1413</v>
      </c>
      <c r="G80" s="293">
        <f>VLOOKUP(A80,'[2]מרכזי רווח עדכני סעיפים'!$A$4:$H$500,8,FALSE)</f>
        <v>15750</v>
      </c>
      <c r="K80" s="294"/>
    </row>
    <row r="81" spans="1:11" x14ac:dyDescent="0.2">
      <c r="A81" s="289">
        <v>1345100940</v>
      </c>
      <c r="B81" s="289" t="s">
        <v>61</v>
      </c>
      <c r="G81" s="293">
        <f>VLOOKUP(A81,'[2]מרכזי רווח עדכני סעיפים'!$A$4:$H$500,8,FALSE)</f>
        <v>9597690</v>
      </c>
      <c r="K81" s="294"/>
    </row>
    <row r="82" spans="1:11" x14ac:dyDescent="0.2">
      <c r="A82" s="289">
        <v>1345100941</v>
      </c>
      <c r="B82" s="289" t="s">
        <v>62</v>
      </c>
      <c r="K82" s="294"/>
    </row>
    <row r="83" spans="1:11" x14ac:dyDescent="0.2">
      <c r="A83" s="289">
        <v>1345100942</v>
      </c>
      <c r="B83" s="289" t="s">
        <v>1480</v>
      </c>
      <c r="G83" s="293">
        <f>VLOOKUP(A83,'[2]מרכזי רווח עדכני סעיפים'!$A$4:$H$500,8,FALSE)</f>
        <v>71544</v>
      </c>
      <c r="K83" s="294"/>
    </row>
    <row r="84" spans="1:11" x14ac:dyDescent="0.2">
      <c r="A84" s="289">
        <v>1345100943</v>
      </c>
      <c r="B84" s="289" t="s">
        <v>1952</v>
      </c>
      <c r="G84" s="293">
        <f>VLOOKUP(A84,'[2]מרכזי רווח עדכני סעיפים'!$A$4:$H$500,7,FALSE)</f>
        <v>2319786</v>
      </c>
      <c r="I84" s="289" t="s">
        <v>1953</v>
      </c>
      <c r="K84" s="294"/>
    </row>
    <row r="85" spans="1:11" x14ac:dyDescent="0.2">
      <c r="A85" s="289">
        <v>1345200930</v>
      </c>
      <c r="B85" s="289" t="s">
        <v>435</v>
      </c>
      <c r="I85" s="289" t="s">
        <v>1949</v>
      </c>
      <c r="K85" s="294"/>
    </row>
    <row r="86" spans="1:11" x14ac:dyDescent="0.2">
      <c r="A86" s="289">
        <v>1345200932</v>
      </c>
      <c r="B86" s="289" t="s">
        <v>437</v>
      </c>
      <c r="G86" s="293">
        <f>VLOOKUP(A86,'[2]מרכזי רווח עדכני סעיפים'!$A$4:$H$500,8,FALSE)</f>
        <v>564288.4800000001</v>
      </c>
      <c r="K86" s="294"/>
    </row>
    <row r="87" spans="1:11" x14ac:dyDescent="0.2">
      <c r="A87" s="289">
        <v>1345200936</v>
      </c>
      <c r="B87" s="289" t="s">
        <v>63</v>
      </c>
      <c r="G87" s="293" t="str">
        <f>VLOOKUP(A87,'[2]מרכזי רווח עדכני סעיפים'!$A$4:$H$500,8,FALSE)</f>
        <v>ללא פעילות</v>
      </c>
      <c r="I87" s="289" t="s">
        <v>1949</v>
      </c>
      <c r="K87" s="294"/>
    </row>
    <row r="88" spans="1:11" x14ac:dyDescent="0.2">
      <c r="A88" s="289">
        <v>1345200937</v>
      </c>
      <c r="B88" s="289" t="s">
        <v>64</v>
      </c>
      <c r="G88" s="293">
        <f>VLOOKUP(A88,'[2]מרכזי רווח עדכני סעיפים'!$A$4:$H$500,8,FALSE)</f>
        <v>1210947</v>
      </c>
      <c r="K88" s="294"/>
    </row>
    <row r="89" spans="1:11" x14ac:dyDescent="0.2">
      <c r="A89" s="289">
        <v>1345300931</v>
      </c>
      <c r="B89" s="289" t="s">
        <v>439</v>
      </c>
      <c r="G89" s="293">
        <f>VLOOKUP(A89,'[2]מרכזי רווח עדכני סעיפים'!$A$4:$H$500,8,FALSE)</f>
        <v>21300</v>
      </c>
      <c r="K89" s="294"/>
    </row>
    <row r="90" spans="1:11" x14ac:dyDescent="0.2">
      <c r="A90" s="289">
        <v>1345300933</v>
      </c>
      <c r="B90" s="289" t="s">
        <v>440</v>
      </c>
      <c r="I90" s="289" t="s">
        <v>1949</v>
      </c>
      <c r="K90" s="294"/>
    </row>
    <row r="91" spans="1:11" x14ac:dyDescent="0.2">
      <c r="A91" s="289">
        <v>1345300936</v>
      </c>
      <c r="B91" s="289" t="s">
        <v>87</v>
      </c>
      <c r="G91" s="293">
        <f>VLOOKUP(A91,'[2]מרכזי רווח עדכני סעיפים'!$A$4:$H$500,8,FALSE)</f>
        <v>57600</v>
      </c>
      <c r="K91" s="294"/>
    </row>
    <row r="92" spans="1:11" x14ac:dyDescent="0.2">
      <c r="A92" s="289">
        <v>1345300937</v>
      </c>
      <c r="B92" s="289" t="s">
        <v>65</v>
      </c>
      <c r="G92" s="293">
        <f>VLOOKUP(A92,'[2]מרכזי רווח עדכני סעיפים'!$A$4:$H$500,8,FALSE)</f>
        <v>252000</v>
      </c>
      <c r="K92" s="294"/>
    </row>
    <row r="93" spans="1:11" x14ac:dyDescent="0.2">
      <c r="A93" s="289">
        <v>1345300938</v>
      </c>
      <c r="B93" s="289" t="s">
        <v>66</v>
      </c>
      <c r="G93" s="293">
        <f>VLOOKUP(A93,'[2]מרכזי רווח עדכני סעיפים'!$A$4:$H$500,8,FALSE)</f>
        <v>46955.700000000004</v>
      </c>
      <c r="K93" s="294"/>
    </row>
    <row r="94" spans="1:11" x14ac:dyDescent="0.2">
      <c r="A94" s="289">
        <v>1346100930</v>
      </c>
      <c r="B94" s="289" t="s">
        <v>442</v>
      </c>
      <c r="G94" s="293">
        <f>VLOOKUP(A94,'[2]מרכזי רווח עדכני סעיפים'!$A$4:$H$500,8,FALSE)</f>
        <v>127519.38</v>
      </c>
      <c r="K94" s="294"/>
    </row>
    <row r="95" spans="1:11" x14ac:dyDescent="0.2">
      <c r="A95" s="289">
        <v>1346300931</v>
      </c>
      <c r="B95" s="289" t="s">
        <v>443</v>
      </c>
      <c r="G95" s="293">
        <f>VLOOKUP(A95,'[2]מרכזי רווח עדכני סעיפים'!$A$4:$H$500,8,FALSE)</f>
        <v>45000</v>
      </c>
      <c r="K95" s="294"/>
    </row>
    <row r="96" spans="1:11" x14ac:dyDescent="0.2">
      <c r="A96" s="289">
        <v>1346300933</v>
      </c>
      <c r="B96" s="289" t="s">
        <v>444</v>
      </c>
      <c r="G96" s="293">
        <f>VLOOKUP(A96,'[2]מרכזי רווח עדכני סעיפים'!$A$4:$H$500,8,FALSE)</f>
        <v>6300</v>
      </c>
      <c r="K96" s="294"/>
    </row>
    <row r="97" spans="1:11" x14ac:dyDescent="0.2">
      <c r="A97" s="289">
        <v>1346400930</v>
      </c>
      <c r="B97" s="289" t="s">
        <v>1415</v>
      </c>
      <c r="G97" s="293">
        <f>VLOOKUP(A97,'[2]מרכזי רווח עדכני סעיפים'!$A$4:$H$500,8,FALSE)</f>
        <v>0</v>
      </c>
      <c r="K97" s="294"/>
    </row>
    <row r="98" spans="1:11" x14ac:dyDescent="0.2">
      <c r="A98" s="289">
        <v>1346400931</v>
      </c>
      <c r="B98" s="289" t="s">
        <v>445</v>
      </c>
      <c r="I98" s="289" t="s">
        <v>1949</v>
      </c>
      <c r="K98" s="294"/>
    </row>
    <row r="99" spans="1:11" x14ac:dyDescent="0.2">
      <c r="A99" s="289">
        <v>1346500930</v>
      </c>
      <c r="B99" s="289" t="s">
        <v>446</v>
      </c>
      <c r="G99" s="293">
        <f>VLOOKUP(A99,'[2]מרכזי רווח עדכני סעיפים'!$A$4:$H$500,8,FALSE)</f>
        <v>3020220</v>
      </c>
      <c r="K99" s="294"/>
    </row>
    <row r="100" spans="1:11" x14ac:dyDescent="0.2">
      <c r="A100" s="289">
        <v>1346600930</v>
      </c>
      <c r="B100" s="289" t="s">
        <v>447</v>
      </c>
      <c r="G100" s="293">
        <f>VLOOKUP(A100,'[2]מרכזי רווח עדכני סעיפים'!$A$4:$H$500,8,FALSE)</f>
        <v>62263.656000000003</v>
      </c>
      <c r="K100" s="294"/>
    </row>
    <row r="101" spans="1:11" x14ac:dyDescent="0.2">
      <c r="A101" s="289">
        <v>1346600931</v>
      </c>
      <c r="B101" s="289" t="s">
        <v>448</v>
      </c>
      <c r="G101" s="293">
        <f>VLOOKUP(A101,'[2]מרכזי רווח עדכני סעיפים'!$A$4:$H$500,8,FALSE)</f>
        <v>167434.01999999999</v>
      </c>
      <c r="K101" s="294"/>
    </row>
    <row r="102" spans="1:11" x14ac:dyDescent="0.2">
      <c r="A102" s="289">
        <v>1346600933</v>
      </c>
      <c r="B102" s="289" t="s">
        <v>1479</v>
      </c>
      <c r="G102" s="293">
        <f>VLOOKUP(A102,'[2]מרכזי רווח עדכני סעיפים'!$A$4:$H$500,8,FALSE)</f>
        <v>18176.400000000001</v>
      </c>
      <c r="K102" s="294"/>
    </row>
    <row r="103" spans="1:11" x14ac:dyDescent="0.2">
      <c r="A103" s="289">
        <v>1346700930</v>
      </c>
      <c r="B103" s="289" t="s">
        <v>449</v>
      </c>
      <c r="G103" s="293">
        <f>VLOOKUP(A103,'[2]מרכזי רווח עדכני סעיפים'!$A$4:$H$500,8,FALSE)</f>
        <v>7500</v>
      </c>
      <c r="K103" s="294"/>
    </row>
    <row r="104" spans="1:11" x14ac:dyDescent="0.2">
      <c r="A104" s="289">
        <v>1346700931</v>
      </c>
      <c r="B104" s="289" t="s">
        <v>1417</v>
      </c>
      <c r="G104" s="293">
        <f>VLOOKUP(A104,'[2]מרכזי רווח עדכני סעיפים'!$A$4:$H$500,8,FALSE)</f>
        <v>9877.68</v>
      </c>
      <c r="K104" s="294"/>
    </row>
    <row r="105" spans="1:11" x14ac:dyDescent="0.2">
      <c r="A105" s="289">
        <v>1346700933</v>
      </c>
      <c r="B105" s="289" t="s">
        <v>303</v>
      </c>
      <c r="G105" s="293">
        <f>VLOOKUP(A105,'[2]מרכזי רווח עדכני סעיפים'!$A$4:$H$500,8,FALSE)</f>
        <v>277704</v>
      </c>
      <c r="K105" s="294"/>
    </row>
    <row r="106" spans="1:11" x14ac:dyDescent="0.2">
      <c r="A106" s="289">
        <v>1346700934</v>
      </c>
      <c r="B106" s="289" t="s">
        <v>450</v>
      </c>
      <c r="G106" s="293">
        <f>VLOOKUP(A106,'[2]מרכזי רווח עדכני סעיפים'!$A$4:$H$500,8,FALSE)</f>
        <v>262500</v>
      </c>
      <c r="K106" s="294"/>
    </row>
    <row r="107" spans="1:11" x14ac:dyDescent="0.2">
      <c r="A107" s="289">
        <v>1346700935</v>
      </c>
      <c r="B107" s="289" t="s">
        <v>451</v>
      </c>
      <c r="G107" s="293">
        <f>VLOOKUP(A107,'[2]מרכזי רווח עדכני סעיפים'!$A$4:$H$500,8,FALSE)</f>
        <v>108000</v>
      </c>
      <c r="K107" s="294"/>
    </row>
    <row r="108" spans="1:11" x14ac:dyDescent="0.2">
      <c r="A108" s="289">
        <v>1346700936</v>
      </c>
      <c r="B108" s="289" t="s">
        <v>452</v>
      </c>
      <c r="G108" s="293">
        <f>VLOOKUP(A108,'[2]מרכזי רווח עדכני סעיפים'!$A$4:$H$500,8,FALSE)</f>
        <v>4500</v>
      </c>
      <c r="K108" s="294"/>
    </row>
    <row r="109" spans="1:11" x14ac:dyDescent="0.2">
      <c r="A109" s="289">
        <v>1346700938</v>
      </c>
      <c r="B109" s="289" t="s">
        <v>454</v>
      </c>
      <c r="G109" s="293">
        <f>VLOOKUP(A109,'[2]מרכזי רווח עדכני סעיפים'!$A$4:$H$500,8,FALSE)</f>
        <v>80884.979999999981</v>
      </c>
      <c r="K109" s="294"/>
    </row>
    <row r="110" spans="1:11" x14ac:dyDescent="0.2">
      <c r="A110" s="289">
        <v>1346700939</v>
      </c>
      <c r="B110" s="289" t="s">
        <v>88</v>
      </c>
      <c r="G110" s="293">
        <f>VLOOKUP(A110,'[2]מרכזי רווח עדכני סעיפים'!$A$4:$H$500,8,FALSE)</f>
        <v>17500</v>
      </c>
      <c r="I110" s="289" t="s">
        <v>1949</v>
      </c>
      <c r="K110" s="294"/>
    </row>
    <row r="111" spans="1:11" x14ac:dyDescent="0.2">
      <c r="A111" s="289">
        <v>1346700950</v>
      </c>
      <c r="B111" s="289" t="s">
        <v>1954</v>
      </c>
      <c r="G111" s="293">
        <f>VLOOKUP(A111,'[2]מרכזי רווח עדכני סעיפים'!$A$4:$H$500,8,FALSE)</f>
        <v>0</v>
      </c>
      <c r="K111" s="294"/>
    </row>
    <row r="112" spans="1:11" x14ac:dyDescent="0.2">
      <c r="A112" s="289">
        <v>1346800932</v>
      </c>
      <c r="B112" s="289" t="s">
        <v>455</v>
      </c>
      <c r="G112" s="293">
        <f>VLOOKUP(A112,'[2]מרכזי רווח עדכני סעיפים'!$A$4:$H$500,8,FALSE)</f>
        <v>54000</v>
      </c>
      <c r="K112" s="294"/>
    </row>
    <row r="113" spans="1:11" x14ac:dyDescent="0.2">
      <c r="A113" s="289">
        <v>1346800933</v>
      </c>
      <c r="B113" s="289" t="s">
        <v>456</v>
      </c>
      <c r="G113" s="293">
        <f>VLOOKUP(A113,'[2]מרכזי רווח עדכני סעיפים'!$A$4:$H$500,8,FALSE)</f>
        <v>34535.160000000003</v>
      </c>
      <c r="K113" s="294"/>
    </row>
    <row r="114" spans="1:11" x14ac:dyDescent="0.2">
      <c r="A114" s="289">
        <v>1346800934</v>
      </c>
      <c r="B114" s="289" t="s">
        <v>457</v>
      </c>
      <c r="G114" s="293">
        <f>VLOOKUP(A114,'[2]מרכזי רווח עדכני סעיפים'!$A$4:$H$500,8,FALSE)</f>
        <v>18450</v>
      </c>
      <c r="K114" s="294"/>
    </row>
    <row r="115" spans="1:11" x14ac:dyDescent="0.2">
      <c r="A115" s="289">
        <v>1346800936</v>
      </c>
      <c r="B115" s="289" t="s">
        <v>459</v>
      </c>
      <c r="G115" s="293">
        <f>VLOOKUP(A115,'[2]מרכזי רווח עדכני סעיפים'!$A$4:$H$500,8,FALSE)</f>
        <v>256948.2</v>
      </c>
      <c r="K115" s="294"/>
    </row>
    <row r="116" spans="1:11" x14ac:dyDescent="0.2">
      <c r="A116" s="289">
        <v>1346800938</v>
      </c>
      <c r="B116" s="289" t="s">
        <v>1596</v>
      </c>
      <c r="G116" s="293">
        <f>VLOOKUP(A116,'[2]מרכזי רווח עדכני סעיפים'!$A$4:$H$500,8,FALSE)</f>
        <v>41744.351999999999</v>
      </c>
      <c r="K116" s="294"/>
    </row>
    <row r="117" spans="1:11" x14ac:dyDescent="0.2">
      <c r="A117" s="289">
        <v>1346800940</v>
      </c>
      <c r="B117" s="289" t="s">
        <v>67</v>
      </c>
      <c r="G117" s="293">
        <f>VLOOKUP(A117,'[2]מרכזי רווח עדכני סעיפים'!$A$4:$H$500,8,FALSE)</f>
        <v>99954</v>
      </c>
      <c r="K117" s="294"/>
    </row>
    <row r="118" spans="1:11" x14ac:dyDescent="0.2">
      <c r="A118" s="289">
        <v>1346800942</v>
      </c>
      <c r="B118" s="289" t="s">
        <v>1955</v>
      </c>
      <c r="G118" s="293" t="str">
        <f>VLOOKUP(A118,'[2]מרכזי רווח עדכני סעיפים'!$A$4:$H$500,8,FALSE)</f>
        <v>לילך צריכה לבדוק האם אמור להיות כאן החזר</v>
      </c>
      <c r="K118" s="294"/>
    </row>
    <row r="119" spans="1:11" x14ac:dyDescent="0.2">
      <c r="A119" s="289">
        <v>1346800941</v>
      </c>
      <c r="B119" s="289" t="s">
        <v>68</v>
      </c>
      <c r="G119" s="293">
        <f>VLOOKUP(A119,'[2]מרכזי רווח עדכני סעיפים'!$A$4:$H$500,8,FALSE)</f>
        <v>0</v>
      </c>
      <c r="I119" s="289" t="s">
        <v>1949</v>
      </c>
      <c r="K119" s="294"/>
    </row>
    <row r="120" spans="1:11" x14ac:dyDescent="0.2">
      <c r="A120" s="289">
        <v>1346900920</v>
      </c>
      <c r="B120" s="289" t="s">
        <v>1597</v>
      </c>
      <c r="G120" s="293">
        <f>VLOOKUP(A120,'[2]מרכזי רווח עדכני סעיפים'!$A$4:$H$500,8,FALSE)</f>
        <v>0</v>
      </c>
      <c r="I120" s="289" t="s">
        <v>1956</v>
      </c>
      <c r="K120" s="294"/>
    </row>
    <row r="121" spans="1:11" x14ac:dyDescent="0.2">
      <c r="A121" s="289">
        <v>1347100931</v>
      </c>
      <c r="B121" s="289" t="s">
        <v>461</v>
      </c>
      <c r="G121" s="293">
        <f>VLOOKUP(A121,'[2]מרכזי רווח עדכני סעיפים'!$A$4:$H$500,8,FALSE)</f>
        <v>175470</v>
      </c>
      <c r="K121" s="294"/>
    </row>
    <row r="122" spans="1:11" x14ac:dyDescent="0.2">
      <c r="A122" s="289">
        <v>1347100932</v>
      </c>
      <c r="B122" s="289" t="s">
        <v>1198</v>
      </c>
      <c r="G122" s="293">
        <f>VLOOKUP(A122,'[2]מרכזי רווח עדכני סעיפים'!$A$4:$H$500,8,FALSE)</f>
        <v>72000</v>
      </c>
      <c r="K122" s="294"/>
    </row>
    <row r="123" spans="1:11" x14ac:dyDescent="0.2">
      <c r="A123" s="289">
        <v>1347100933</v>
      </c>
      <c r="B123" s="289" t="s">
        <v>462</v>
      </c>
      <c r="G123" s="293">
        <f>VLOOKUP(A123,'[2]מרכזי רווח עדכני סעיפים'!$A$4:$H$500,8,FALSE)</f>
        <v>16000</v>
      </c>
      <c r="K123" s="294"/>
    </row>
    <row r="124" spans="1:11" x14ac:dyDescent="0.2">
      <c r="A124" s="289">
        <v>1347100934</v>
      </c>
      <c r="B124" s="289" t="s">
        <v>463</v>
      </c>
      <c r="G124" s="293">
        <f>VLOOKUP(A124,'[2]מרכזי רווח עדכני סעיפים'!$A$4:$H$500,8,FALSE)</f>
        <v>162270</v>
      </c>
      <c r="K124" s="294"/>
    </row>
    <row r="125" spans="1:11" x14ac:dyDescent="0.2">
      <c r="A125" s="289">
        <v>1347100935</v>
      </c>
      <c r="B125" s="289" t="s">
        <v>1421</v>
      </c>
      <c r="G125" s="293">
        <f>VLOOKUP(A125,'[2]מרכזי רווח עדכני סעיפים'!$A$4:$H$500,8,FALSE)</f>
        <v>1350</v>
      </c>
      <c r="K125" s="294"/>
    </row>
    <row r="126" spans="1:11" x14ac:dyDescent="0.2">
      <c r="A126" s="289">
        <v>1347100936</v>
      </c>
      <c r="B126" s="289" t="s">
        <v>50</v>
      </c>
      <c r="G126" s="293">
        <f>VLOOKUP(A126,'[2]מרכזי רווח עדכני סעיפים'!$A$4:$H$500,8,FALSE)</f>
        <v>30000</v>
      </c>
      <c r="K126" s="294"/>
    </row>
    <row r="127" spans="1:11" x14ac:dyDescent="0.2">
      <c r="A127" s="289">
        <v>1347100940</v>
      </c>
      <c r="B127" s="289" t="s">
        <v>69</v>
      </c>
      <c r="G127" s="293">
        <f>VLOOKUP(A127,'[2]מרכזי רווח עדכני סעיפים'!$A$4:$H$500,8,FALSE)</f>
        <v>0</v>
      </c>
      <c r="K127" s="294"/>
    </row>
    <row r="128" spans="1:11" x14ac:dyDescent="0.2">
      <c r="A128" s="289">
        <v>1347100952</v>
      </c>
      <c r="B128" s="289" t="s">
        <v>1957</v>
      </c>
      <c r="G128" s="293">
        <f>VLOOKUP(A128,'[2]מרכזי רווח עדכני סעיפים'!$A$4:$H$500,8,FALSE)</f>
        <v>25704</v>
      </c>
      <c r="K128" s="294"/>
    </row>
    <row r="129" spans="1:11" x14ac:dyDescent="0.2">
      <c r="A129" s="289">
        <v>1347100953</v>
      </c>
      <c r="B129" s="289" t="s">
        <v>1958</v>
      </c>
      <c r="G129" s="293">
        <f>VLOOKUP(A129,'[2]מרכזי רווח עדכני סעיפים'!$A$4:$H$500,8,FALSE)</f>
        <v>60750</v>
      </c>
      <c r="K129" s="294"/>
    </row>
    <row r="130" spans="1:11" x14ac:dyDescent="0.2">
      <c r="A130" s="289">
        <v>1347100954</v>
      </c>
      <c r="B130" s="289" t="s">
        <v>1959</v>
      </c>
      <c r="G130" s="293">
        <f>VLOOKUP(A130,'[2]מרכזי רווח עדכני סעיפים'!$A$4:$H$500,8,FALSE)</f>
        <v>61200</v>
      </c>
      <c r="K130" s="294"/>
    </row>
    <row r="131" spans="1:11" x14ac:dyDescent="0.2">
      <c r="A131" s="289">
        <v>1347140931</v>
      </c>
      <c r="B131" s="289" t="s">
        <v>1145</v>
      </c>
      <c r="G131" s="293">
        <f>VLOOKUP(A131,'[2]מרכזי רווח עדכני סעיפים'!$A$4:$H$500,8,FALSE)</f>
        <v>0</v>
      </c>
      <c r="I131" s="289" t="s">
        <v>1949</v>
      </c>
      <c r="K131" s="294"/>
    </row>
    <row r="132" spans="1:11" x14ac:dyDescent="0.2">
      <c r="A132" s="289">
        <v>1347300930</v>
      </c>
      <c r="B132" s="289" t="s">
        <v>466</v>
      </c>
      <c r="G132" s="293">
        <f>VLOOKUP(A132,'[2]מרכזי רווח עדכני סעיפים'!$A$4:$H$500,8,FALSE)</f>
        <v>4500</v>
      </c>
      <c r="K132" s="294"/>
    </row>
    <row r="133" spans="1:11" x14ac:dyDescent="0.2">
      <c r="A133" s="289">
        <v>1347300936</v>
      </c>
      <c r="B133" s="289" t="s">
        <v>1425</v>
      </c>
      <c r="G133" s="293">
        <f>VLOOKUP(A133,'[2]מרכזי רווח עדכני סעיפים'!$A$4:$H$500,8,FALSE)</f>
        <v>150873.30000000002</v>
      </c>
      <c r="K133" s="294"/>
    </row>
    <row r="134" spans="1:11" x14ac:dyDescent="0.2">
      <c r="A134" s="289">
        <v>1347300937</v>
      </c>
      <c r="B134" s="289" t="s">
        <v>96</v>
      </c>
      <c r="G134" s="293">
        <f>VLOOKUP(A134,'[2]מרכזי רווח עדכני סעיפים'!$A$4:$H$500,8,FALSE)</f>
        <v>4500</v>
      </c>
      <c r="I134" s="289" t="s">
        <v>1949</v>
      </c>
      <c r="K134" s="294"/>
    </row>
    <row r="135" spans="1:11" x14ac:dyDescent="0.2">
      <c r="A135" s="289">
        <v>1347300938</v>
      </c>
      <c r="B135" s="289" t="s">
        <v>1478</v>
      </c>
      <c r="G135" s="293">
        <f>VLOOKUP(A135,'[2]מרכזי רווח עדכני סעיפים'!$A$4:$H$500,8,FALSE)</f>
        <v>0</v>
      </c>
      <c r="I135" s="289" t="s">
        <v>1960</v>
      </c>
      <c r="K135" s="294"/>
    </row>
    <row r="136" spans="1:11" x14ac:dyDescent="0.2">
      <c r="A136" s="289">
        <v>1347400931</v>
      </c>
      <c r="B136" s="289" t="s">
        <v>470</v>
      </c>
      <c r="G136" s="293">
        <f>VLOOKUP(A136,'[2]מרכזי רווח עדכני סעיפים'!$A$4:$H$500,8,FALSE)</f>
        <v>220704</v>
      </c>
      <c r="K136" s="294"/>
    </row>
    <row r="137" spans="1:11" x14ac:dyDescent="0.2">
      <c r="A137" s="289">
        <v>1347400933</v>
      </c>
      <c r="B137" s="289" t="s">
        <v>471</v>
      </c>
      <c r="G137" s="293">
        <f>VLOOKUP(A137,'[2]מרכזי רווח עדכני סעיפים'!$A$4:$H$500,8,FALSE)</f>
        <v>0</v>
      </c>
      <c r="I137" s="289" t="s">
        <v>1949</v>
      </c>
      <c r="K137" s="294"/>
    </row>
    <row r="138" spans="1:11" x14ac:dyDescent="0.2">
      <c r="A138" s="289">
        <v>1347400934</v>
      </c>
      <c r="B138" s="289" t="s">
        <v>472</v>
      </c>
      <c r="G138" s="293">
        <f>VLOOKUP(A138,'[2]מרכזי רווח עדכני סעיפים'!$A$4:$H$500,8,FALSE)</f>
        <v>0</v>
      </c>
      <c r="I138" s="289" t="s">
        <v>1949</v>
      </c>
      <c r="K138" s="294"/>
    </row>
    <row r="139" spans="1:11" x14ac:dyDescent="0.2">
      <c r="A139" s="289">
        <v>1348200931</v>
      </c>
      <c r="B139" s="289" t="s">
        <v>474</v>
      </c>
      <c r="G139" s="293">
        <f>VLOOKUP(A139,'[2]מרכזי רווח עדכני סעיפים'!$A$4:$H$500,8,FALSE)</f>
        <v>18750</v>
      </c>
      <c r="K139" s="294"/>
    </row>
    <row r="140" spans="1:11" x14ac:dyDescent="0.2">
      <c r="A140" s="289">
        <v>1348200936</v>
      </c>
      <c r="B140" s="289" t="s">
        <v>1431</v>
      </c>
      <c r="G140" s="293">
        <f>VLOOKUP(A140,'[2]מרכזי רווח עדכני סעיפים'!$A$4:$H$500,8,FALSE)</f>
        <v>0</v>
      </c>
      <c r="I140" s="289" t="s">
        <v>1949</v>
      </c>
      <c r="K140" s="294"/>
    </row>
    <row r="141" spans="1:11" x14ac:dyDescent="0.2">
      <c r="A141" s="289">
        <v>1348200937</v>
      </c>
      <c r="B141" s="289" t="s">
        <v>1365</v>
      </c>
      <c r="G141" s="293">
        <f>VLOOKUP(A141,'[2]מרכזי רווח עדכני סעיפים'!$A$4:$H$500,8,FALSE)</f>
        <v>8250</v>
      </c>
      <c r="K141" s="294"/>
    </row>
    <row r="142" spans="1:11" x14ac:dyDescent="0.2">
      <c r="A142" s="289">
        <v>1348300930</v>
      </c>
      <c r="B142" s="289" t="s">
        <v>475</v>
      </c>
      <c r="G142" s="293">
        <f>VLOOKUP(A142,'[2]מרכזי רווח עדכני סעיפים'!$A$4:$H$500,8,FALSE)</f>
        <v>37500</v>
      </c>
      <c r="K142" s="294"/>
    </row>
    <row r="143" spans="1:11" x14ac:dyDescent="0.2">
      <c r="A143" s="289">
        <v>1348400930</v>
      </c>
      <c r="B143" s="289" t="s">
        <v>476</v>
      </c>
      <c r="G143" s="293">
        <f>VLOOKUP(A143,'[2]מרכזי רווח עדכני סעיפים'!$A$4:$H$500,8,FALSE)</f>
        <v>1500</v>
      </c>
      <c r="K143" s="294"/>
    </row>
    <row r="144" spans="1:11" x14ac:dyDescent="0.2">
      <c r="A144" s="289">
        <v>1348500932</v>
      </c>
      <c r="B144" s="289" t="s">
        <v>477</v>
      </c>
      <c r="G144" s="293">
        <f>VLOOKUP(A144,'[2]מרכזי רווח עדכני סעיפים'!$A$4:$H$500,8,FALSE)</f>
        <v>37500</v>
      </c>
      <c r="K144" s="294"/>
    </row>
    <row r="145" spans="1:11" x14ac:dyDescent="0.2">
      <c r="A145" s="289">
        <v>1349000930</v>
      </c>
      <c r="B145" s="289" t="s">
        <v>478</v>
      </c>
      <c r="G145" s="293">
        <f>VLOOKUP(A145,'[2]מרכזי רווח עדכני סעיפים'!$A$4:$H$500,8,FALSE)</f>
        <v>16009.920000000002</v>
      </c>
      <c r="K145" s="294"/>
    </row>
    <row r="146" spans="1:11" x14ac:dyDescent="0.2">
      <c r="A146" s="289">
        <v>1349000932</v>
      </c>
      <c r="B146" s="289" t="s">
        <v>480</v>
      </c>
      <c r="G146" s="293">
        <f>VLOOKUP(A146,'[2]מרכזי רווח עדכני סעיפים'!$A$4:$H$500,8,FALSE)</f>
        <v>13747.86</v>
      </c>
      <c r="K146" s="294"/>
    </row>
    <row r="147" spans="1:11" x14ac:dyDescent="0.2">
      <c r="A147" s="289">
        <v>1349000933</v>
      </c>
      <c r="B147" s="289" t="s">
        <v>481</v>
      </c>
      <c r="I147" s="289" t="s">
        <v>1949</v>
      </c>
      <c r="K147" s="294"/>
    </row>
    <row r="148" spans="1:11" x14ac:dyDescent="0.2">
      <c r="A148" s="289">
        <v>1349000934</v>
      </c>
      <c r="B148" s="289" t="s">
        <v>482</v>
      </c>
      <c r="G148" s="293">
        <f>VLOOKUP(A148,'[2]מרכזי רווח עדכני סעיפים'!$A$4:$H$500,8,FALSE)</f>
        <v>89826.3</v>
      </c>
      <c r="K148" s="294"/>
    </row>
    <row r="149" spans="1:11" x14ac:dyDescent="0.2">
      <c r="A149" s="289">
        <v>1349000935</v>
      </c>
      <c r="B149" s="289" t="s">
        <v>483</v>
      </c>
      <c r="G149" s="293">
        <f>VLOOKUP(A149,'[2]מרכזי רווח עדכני סעיפים'!$A$4:$H$500,8,FALSE)</f>
        <v>50625</v>
      </c>
      <c r="K149" s="294"/>
    </row>
    <row r="150" spans="1:11" x14ac:dyDescent="0.2">
      <c r="A150" s="289">
        <v>1349000938</v>
      </c>
      <c r="B150" s="289" t="s">
        <v>484</v>
      </c>
      <c r="G150" s="293">
        <f>VLOOKUP(A150,'[2]מרכזי רווח עדכני סעיפים'!$A$4:$H$500,8,FALSE)</f>
        <v>35640</v>
      </c>
      <c r="K150" s="294"/>
    </row>
    <row r="151" spans="1:11" x14ac:dyDescent="0.2">
      <c r="A151" s="289">
        <v>1349000941</v>
      </c>
      <c r="B151" s="289" t="s">
        <v>70</v>
      </c>
      <c r="G151" s="293">
        <f>VLOOKUP(A151,'[2]מרכזי רווח עדכני סעיפים'!$A$4:$H$500,8,FALSE)</f>
        <v>135634.5</v>
      </c>
      <c r="K151" s="294"/>
    </row>
    <row r="152" spans="1:11" x14ac:dyDescent="0.2">
      <c r="A152" s="289">
        <v>1349001931</v>
      </c>
      <c r="B152" s="289" t="s">
        <v>1366</v>
      </c>
      <c r="G152" s="293">
        <f>VLOOKUP(A152,'[2]מרכזי רווח עדכני סעיפים'!$A$4:$H$500,8,FALSE)</f>
        <v>150000</v>
      </c>
      <c r="K152" s="294"/>
    </row>
    <row r="153" spans="1:11" x14ac:dyDescent="0.2">
      <c r="A153" s="289">
        <v>1349001937</v>
      </c>
      <c r="B153" s="289" t="s">
        <v>486</v>
      </c>
      <c r="G153" s="293">
        <f>VLOOKUP(A153,'[2]מרכזי רווח עדכני סעיפים'!$A$4:$H$500,8,FALSE)</f>
        <v>15000</v>
      </c>
      <c r="K153" s="294"/>
    </row>
    <row r="154" spans="1:11" x14ac:dyDescent="0.2">
      <c r="A154" s="289">
        <v>1349001939</v>
      </c>
      <c r="B154" s="289" t="s">
        <v>487</v>
      </c>
      <c r="G154" s="293">
        <f>VLOOKUP(A154,'[2]מרכזי רווח עדכני סעיפים'!$A$4:$H$500,8,FALSE)</f>
        <v>15750</v>
      </c>
      <c r="K154" s="294"/>
    </row>
    <row r="155" spans="1:11" x14ac:dyDescent="0.2">
      <c r="A155" s="289">
        <v>1349002939</v>
      </c>
      <c r="B155" s="289" t="s">
        <v>488</v>
      </c>
      <c r="G155" s="293">
        <f>VLOOKUP(A155,'[2]מרכזי רווח עדכני סעיפים'!$A$4:$H$500,8,FALSE)</f>
        <v>0</v>
      </c>
      <c r="K155" s="294"/>
    </row>
    <row r="156" spans="1:11" x14ac:dyDescent="0.2">
      <c r="A156" s="289">
        <v>1349300930</v>
      </c>
      <c r="B156" s="289" t="s">
        <v>1439</v>
      </c>
      <c r="G156" s="293">
        <f>VLOOKUP(A156,'[2]מרכזי רווח עדכני סעיפים'!$A$4:$H$500,8,FALSE)</f>
        <v>15000</v>
      </c>
      <c r="K156" s="294"/>
    </row>
    <row r="157" spans="1:11" s="295" customFormat="1" x14ac:dyDescent="0.2">
      <c r="A157" s="295" t="s">
        <v>277</v>
      </c>
      <c r="B157" s="295" t="s">
        <v>400</v>
      </c>
      <c r="C157" s="296">
        <f>SUM(C23:C156)</f>
        <v>0</v>
      </c>
      <c r="D157" s="296"/>
      <c r="E157" s="296"/>
      <c r="F157" s="296"/>
      <c r="G157" s="297">
        <f>SUM(G23:G156)</f>
        <v>44485991.104800001</v>
      </c>
      <c r="H157" s="296"/>
      <c r="J157" s="296"/>
      <c r="K157" s="298"/>
    </row>
    <row r="158" spans="1:11" x14ac:dyDescent="0.2">
      <c r="A158" s="289" t="s">
        <v>1009</v>
      </c>
      <c r="B158" s="289" t="s">
        <v>1010</v>
      </c>
      <c r="K158" s="294"/>
    </row>
    <row r="159" spans="1:11" x14ac:dyDescent="0.2">
      <c r="A159" s="289">
        <v>1841000110</v>
      </c>
      <c r="B159" s="289" t="s">
        <v>401</v>
      </c>
      <c r="G159" s="299"/>
      <c r="H159" s="300"/>
      <c r="K159" s="294"/>
    </row>
    <row r="160" spans="1:11" x14ac:dyDescent="0.2">
      <c r="A160" s="289">
        <v>1841000210</v>
      </c>
      <c r="B160" s="289" t="s">
        <v>1011</v>
      </c>
      <c r="G160" s="299"/>
      <c r="H160" s="300"/>
      <c r="K160" s="294"/>
    </row>
    <row r="161" spans="1:11" x14ac:dyDescent="0.2">
      <c r="A161" s="289">
        <v>1842400110</v>
      </c>
      <c r="B161" s="301" t="s">
        <v>1653</v>
      </c>
      <c r="G161" s="299"/>
      <c r="H161" s="300"/>
      <c r="K161" s="294"/>
    </row>
    <row r="162" spans="1:11" x14ac:dyDescent="0.2">
      <c r="A162" s="289">
        <v>1842410110</v>
      </c>
      <c r="B162" s="301" t="s">
        <v>1654</v>
      </c>
      <c r="G162" s="299"/>
      <c r="H162" s="300"/>
      <c r="K162" s="294"/>
    </row>
    <row r="163" spans="1:11" x14ac:dyDescent="0.2">
      <c r="A163" s="289">
        <v>1843500110</v>
      </c>
      <c r="B163" s="301" t="s">
        <v>1651</v>
      </c>
      <c r="G163" s="299"/>
      <c r="H163" s="300"/>
      <c r="K163" s="294"/>
    </row>
    <row r="164" spans="1:11" x14ac:dyDescent="0.2">
      <c r="A164" s="289">
        <v>1843510110</v>
      </c>
      <c r="B164" s="301" t="s">
        <v>1961</v>
      </c>
      <c r="G164" s="299"/>
      <c r="H164" s="300"/>
      <c r="K164" s="294"/>
    </row>
    <row r="165" spans="1:11" x14ac:dyDescent="0.2">
      <c r="A165" s="289">
        <v>1843500210</v>
      </c>
      <c r="B165" s="289" t="s">
        <v>1483</v>
      </c>
      <c r="G165" s="299"/>
      <c r="H165" s="300"/>
      <c r="I165" s="294"/>
      <c r="K165" s="294"/>
    </row>
    <row r="166" spans="1:11" x14ac:dyDescent="0.2">
      <c r="A166" s="289">
        <v>1843800110</v>
      </c>
      <c r="B166" s="289" t="s">
        <v>1962</v>
      </c>
      <c r="G166" s="299"/>
      <c r="H166" s="300"/>
      <c r="K166" s="294"/>
    </row>
    <row r="167" spans="1:11" x14ac:dyDescent="0.2">
      <c r="A167" s="289">
        <v>1845200110</v>
      </c>
      <c r="B167" s="289" t="s">
        <v>1013</v>
      </c>
      <c r="G167" s="299"/>
      <c r="H167" s="300"/>
      <c r="K167" s="294"/>
    </row>
    <row r="168" spans="1:11" x14ac:dyDescent="0.2">
      <c r="A168" s="289">
        <v>1845200210</v>
      </c>
      <c r="B168" s="289" t="s">
        <v>1014</v>
      </c>
      <c r="G168" s="299"/>
      <c r="H168" s="300"/>
      <c r="K168" s="294"/>
    </row>
    <row r="169" spans="1:11" x14ac:dyDescent="0.2">
      <c r="A169" s="289">
        <v>1846700210</v>
      </c>
      <c r="B169" s="289" t="s">
        <v>1657</v>
      </c>
      <c r="G169" s="299"/>
      <c r="H169" s="300"/>
      <c r="K169" s="294"/>
    </row>
    <row r="170" spans="1:11" x14ac:dyDescent="0.2">
      <c r="A170" s="289">
        <v>1847100110</v>
      </c>
      <c r="B170" s="289" t="s">
        <v>1655</v>
      </c>
      <c r="G170" s="299"/>
      <c r="H170" s="300"/>
      <c r="K170" s="294"/>
    </row>
    <row r="171" spans="1:11" x14ac:dyDescent="0.2">
      <c r="A171" s="289">
        <v>1847100210</v>
      </c>
      <c r="B171" s="289" t="s">
        <v>1656</v>
      </c>
      <c r="G171" s="299"/>
      <c r="H171" s="300"/>
      <c r="K171" s="294"/>
    </row>
    <row r="172" spans="1:11" x14ac:dyDescent="0.2">
      <c r="A172" s="289">
        <v>1847401110</v>
      </c>
      <c r="B172" s="289" t="s">
        <v>1015</v>
      </c>
      <c r="G172" s="299"/>
      <c r="H172" s="300"/>
      <c r="K172" s="294"/>
    </row>
    <row r="173" spans="1:11" x14ac:dyDescent="0.2">
      <c r="A173" s="289">
        <v>1847402110</v>
      </c>
      <c r="B173" s="289" t="s">
        <v>1016</v>
      </c>
      <c r="G173" s="299"/>
      <c r="H173" s="300"/>
      <c r="K173" s="294"/>
    </row>
    <row r="174" spans="1:11" x14ac:dyDescent="0.2">
      <c r="A174" s="289">
        <v>1847404110</v>
      </c>
      <c r="B174" s="289" t="s">
        <v>1017</v>
      </c>
      <c r="G174" s="299"/>
      <c r="H174" s="300"/>
      <c r="K174" s="294"/>
    </row>
    <row r="175" spans="1:11" x14ac:dyDescent="0.2">
      <c r="A175" s="289">
        <v>1847405110</v>
      </c>
      <c r="B175" s="289" t="s">
        <v>1018</v>
      </c>
      <c r="G175" s="299"/>
      <c r="H175" s="300"/>
      <c r="K175" s="294"/>
    </row>
    <row r="176" spans="1:11" x14ac:dyDescent="0.2">
      <c r="A176" s="289">
        <v>1847411110</v>
      </c>
      <c r="B176" s="289" t="s">
        <v>1019</v>
      </c>
      <c r="G176" s="299"/>
      <c r="H176" s="300"/>
      <c r="K176" s="294"/>
    </row>
    <row r="177" spans="1:11" x14ac:dyDescent="0.2">
      <c r="A177" s="289">
        <v>1847411210</v>
      </c>
      <c r="B177" s="289" t="s">
        <v>1477</v>
      </c>
      <c r="G177" s="299"/>
      <c r="H177" s="300"/>
      <c r="K177" s="294"/>
    </row>
    <row r="178" spans="1:11" x14ac:dyDescent="0.2">
      <c r="A178" s="289">
        <v>1847428110</v>
      </c>
      <c r="B178" s="289" t="s">
        <v>919</v>
      </c>
      <c r="G178" s="299"/>
      <c r="H178" s="300"/>
      <c r="K178" s="294"/>
    </row>
    <row r="179" spans="1:11" x14ac:dyDescent="0.2">
      <c r="A179" s="289">
        <v>1848800110</v>
      </c>
      <c r="B179" s="289" t="s">
        <v>523</v>
      </c>
      <c r="G179" s="299"/>
      <c r="H179" s="300"/>
      <c r="K179" s="294"/>
    </row>
    <row r="180" spans="1:11" x14ac:dyDescent="0.2">
      <c r="A180" s="289">
        <v>1848801210</v>
      </c>
      <c r="B180" s="289" t="s">
        <v>1020</v>
      </c>
      <c r="G180" s="299"/>
      <c r="H180" s="300"/>
      <c r="K180" s="294"/>
    </row>
    <row r="181" spans="1:11" s="295" customFormat="1" x14ac:dyDescent="0.2">
      <c r="A181" s="295" t="s">
        <v>277</v>
      </c>
      <c r="B181" s="295" t="s">
        <v>1010</v>
      </c>
      <c r="C181" s="296">
        <f>SUM(C159:C180)</f>
        <v>0</v>
      </c>
      <c r="D181" s="296"/>
      <c r="E181" s="296"/>
      <c r="F181" s="296">
        <f>SUM(F159:F180)</f>
        <v>0</v>
      </c>
      <c r="G181" s="297">
        <f>SUM(G159:G180)</f>
        <v>0</v>
      </c>
      <c r="H181" s="296"/>
      <c r="J181" s="290"/>
      <c r="K181" s="294"/>
    </row>
    <row r="182" spans="1:11" x14ac:dyDescent="0.2">
      <c r="A182" s="289" t="s">
        <v>1963</v>
      </c>
      <c r="B182" s="289" t="s">
        <v>1964</v>
      </c>
      <c r="K182" s="294"/>
    </row>
    <row r="183" spans="1:11" x14ac:dyDescent="0.2">
      <c r="A183" s="289" t="s">
        <v>1021</v>
      </c>
      <c r="B183" s="289" t="s">
        <v>1022</v>
      </c>
      <c r="K183" s="294"/>
    </row>
    <row r="184" spans="1:11" x14ac:dyDescent="0.2">
      <c r="A184" s="289">
        <v>1840000910</v>
      </c>
      <c r="B184" s="289" t="s">
        <v>1965</v>
      </c>
      <c r="F184" s="290">
        <f>106000+19000+90000</f>
        <v>215000</v>
      </c>
      <c r="G184" s="297">
        <f>F184+C184</f>
        <v>215000</v>
      </c>
      <c r="H184" s="296">
        <f>VLOOKUP(A184,'[2]צפי 2017'!$A$180:$G$331,7,FALSE)</f>
        <v>195000</v>
      </c>
      <c r="I184" s="289" t="s">
        <v>1966</v>
      </c>
      <c r="K184" s="294"/>
    </row>
    <row r="185" spans="1:11" x14ac:dyDescent="0.2">
      <c r="A185" s="289">
        <v>1840000981</v>
      </c>
      <c r="B185" s="289" t="s">
        <v>74</v>
      </c>
      <c r="F185" s="290">
        <v>0</v>
      </c>
      <c r="G185" s="297">
        <f>F185+C185</f>
        <v>0</v>
      </c>
      <c r="H185" s="296">
        <f>VLOOKUP(A185,'[2]צפי 2017'!$A$180:$G$331,7,FALSE)</f>
        <v>0</v>
      </c>
      <c r="K185" s="294"/>
    </row>
    <row r="186" spans="1:11" x14ac:dyDescent="0.2">
      <c r="A186" s="289">
        <v>1841000511</v>
      </c>
      <c r="B186" s="289" t="s">
        <v>790</v>
      </c>
      <c r="F186" s="290">
        <v>11000</v>
      </c>
      <c r="G186" s="297">
        <f>F186+C186</f>
        <v>11000</v>
      </c>
      <c r="H186" s="296">
        <f>VLOOKUP(A186,'[2]צפי 2017'!$A$180:$G$331,7,FALSE)</f>
        <v>11000</v>
      </c>
      <c r="K186" s="294"/>
    </row>
    <row r="187" spans="1:11" x14ac:dyDescent="0.2">
      <c r="A187" s="289">
        <v>1841000560</v>
      </c>
      <c r="B187" s="289" t="s">
        <v>966</v>
      </c>
      <c r="F187" s="290">
        <v>12500</v>
      </c>
      <c r="G187" s="297">
        <f t="shared" ref="G187:G256" si="1">F187+C187</f>
        <v>12500</v>
      </c>
      <c r="H187" s="296">
        <f>VLOOKUP(A187,'[2]צפי 2017'!$A$180:$G$331,7,FALSE)</f>
        <v>12600</v>
      </c>
      <c r="K187" s="294"/>
    </row>
    <row r="188" spans="1:11" x14ac:dyDescent="0.2">
      <c r="A188" s="289">
        <v>1841000570</v>
      </c>
      <c r="B188" s="289" t="s">
        <v>1023</v>
      </c>
      <c r="F188" s="290">
        <f>1300*12</f>
        <v>15600</v>
      </c>
      <c r="G188" s="297">
        <f t="shared" si="1"/>
        <v>15600</v>
      </c>
      <c r="H188" s="296">
        <f>VLOOKUP(A188,'[2]צפי 2017'!$A$180:$G$331,7,FALSE)</f>
        <v>14735.71</v>
      </c>
      <c r="I188" s="289" t="s">
        <v>1967</v>
      </c>
      <c r="K188" s="294"/>
    </row>
    <row r="189" spans="1:11" x14ac:dyDescent="0.2">
      <c r="A189" s="289">
        <v>1841000571</v>
      </c>
      <c r="B189" s="289" t="s">
        <v>590</v>
      </c>
      <c r="F189" s="290">
        <v>0</v>
      </c>
      <c r="G189" s="297">
        <f t="shared" si="1"/>
        <v>0</v>
      </c>
      <c r="H189" s="296">
        <f>VLOOKUP(A189,'[2]צפי 2017'!$A$180:$G$331,7,FALSE)</f>
        <v>0</v>
      </c>
      <c r="K189" s="294"/>
    </row>
    <row r="190" spans="1:11" x14ac:dyDescent="0.2">
      <c r="A190" s="289">
        <v>1841000580</v>
      </c>
      <c r="B190" s="289" t="s">
        <v>835</v>
      </c>
      <c r="F190" s="290">
        <v>30000</v>
      </c>
      <c r="G190" s="297">
        <f t="shared" si="1"/>
        <v>30000</v>
      </c>
      <c r="H190" s="296">
        <f>VLOOKUP(A190,'[2]צפי 2017'!$A$180:$G$331,7,FALSE)</f>
        <v>60000</v>
      </c>
      <c r="I190" s="289" t="s">
        <v>1968</v>
      </c>
      <c r="K190" s="294"/>
    </row>
    <row r="191" spans="1:11" x14ac:dyDescent="0.2">
      <c r="A191" s="289">
        <v>1841000581</v>
      </c>
      <c r="B191" s="289" t="s">
        <v>1905</v>
      </c>
      <c r="F191" s="290">
        <f>800*12</f>
        <v>9600</v>
      </c>
      <c r="G191" s="297">
        <f t="shared" si="1"/>
        <v>9600</v>
      </c>
      <c r="H191" s="296">
        <f>VLOOKUP(A191,'[2]צפי 2017'!$A$180:$G$331,7,FALSE)</f>
        <v>9549.73</v>
      </c>
      <c r="I191" s="289" t="s">
        <v>1967</v>
      </c>
      <c r="K191" s="294"/>
    </row>
    <row r="192" spans="1:11" x14ac:dyDescent="0.2">
      <c r="A192" s="289">
        <v>1841000750</v>
      </c>
      <c r="B192" s="289" t="s">
        <v>1024</v>
      </c>
      <c r="F192" s="290">
        <f>12000</f>
        <v>12000</v>
      </c>
      <c r="G192" s="297">
        <f t="shared" si="1"/>
        <v>12000</v>
      </c>
      <c r="H192" s="296">
        <f>VLOOKUP(A192,'[2]צפי 2017'!$A$180:$G$331,7,FALSE)</f>
        <v>12953.43</v>
      </c>
      <c r="I192" s="289" t="s">
        <v>1969</v>
      </c>
      <c r="K192" s="294"/>
    </row>
    <row r="193" spans="1:11" x14ac:dyDescent="0.2">
      <c r="A193" s="289">
        <v>1841000780</v>
      </c>
      <c r="B193" s="289" t="s">
        <v>1046</v>
      </c>
      <c r="F193" s="290">
        <v>0</v>
      </c>
      <c r="G193" s="297">
        <f t="shared" si="1"/>
        <v>0</v>
      </c>
      <c r="H193" s="296">
        <f>VLOOKUP(A193,'[2]צפי 2017'!$A$180:$G$331,7,FALSE)</f>
        <v>0</v>
      </c>
      <c r="K193" s="294"/>
    </row>
    <row r="194" spans="1:11" x14ac:dyDescent="0.2">
      <c r="A194" s="289">
        <v>1841000843</v>
      </c>
      <c r="B194" s="289" t="s">
        <v>402</v>
      </c>
      <c r="F194" s="290">
        <v>10000</v>
      </c>
      <c r="G194" s="297">
        <f>F194+C194</f>
        <v>10000</v>
      </c>
      <c r="H194" s="296">
        <f>VLOOKUP(A194,'[2]צפי 2017'!$A$180:$G$331,7,FALSE)</f>
        <v>0</v>
      </c>
      <c r="K194" s="294"/>
    </row>
    <row r="195" spans="1:11" x14ac:dyDescent="0.2">
      <c r="A195" s="289">
        <v>1841000845</v>
      </c>
      <c r="B195" s="289" t="s">
        <v>1404</v>
      </c>
      <c r="G195" s="297">
        <f t="shared" si="1"/>
        <v>0</v>
      </c>
      <c r="H195" s="296">
        <f>VLOOKUP(A195,'[2]צפי 2017'!$A$180:$G$331,7,FALSE)</f>
        <v>0</v>
      </c>
      <c r="K195" s="294"/>
    </row>
    <row r="196" spans="1:11" x14ac:dyDescent="0.2">
      <c r="A196" s="289">
        <v>1841000846</v>
      </c>
      <c r="B196" s="289" t="s">
        <v>404</v>
      </c>
      <c r="F196" s="290">
        <v>30000</v>
      </c>
      <c r="G196" s="297">
        <f t="shared" si="1"/>
        <v>30000</v>
      </c>
      <c r="H196" s="296">
        <f>VLOOKUP(A196,'[2]צפי 2017'!$A$180:$G$331,7,FALSE)</f>
        <v>8152.58</v>
      </c>
      <c r="K196" s="294"/>
    </row>
    <row r="197" spans="1:11" x14ac:dyDescent="0.2">
      <c r="A197" s="289">
        <v>1841000910</v>
      </c>
      <c r="B197" s="289" t="s">
        <v>704</v>
      </c>
      <c r="F197" s="290">
        <v>0</v>
      </c>
      <c r="G197" s="297">
        <f t="shared" si="1"/>
        <v>0</v>
      </c>
      <c r="H197" s="296">
        <f>VLOOKUP(A197,'[2]צפי 2017'!$A$180:$G$331,7,FALSE)</f>
        <v>19134</v>
      </c>
      <c r="I197" s="289" t="s">
        <v>1970</v>
      </c>
      <c r="K197" s="294"/>
    </row>
    <row r="198" spans="1:11" x14ac:dyDescent="0.2">
      <c r="A198" s="289">
        <v>1841000980</v>
      </c>
      <c r="B198" s="289" t="s">
        <v>652</v>
      </c>
      <c r="F198" s="290">
        <f>200000+120000+60000</f>
        <v>380000</v>
      </c>
      <c r="G198" s="297">
        <f t="shared" si="1"/>
        <v>380000</v>
      </c>
      <c r="H198" s="296">
        <f>VLOOKUP(A198,'[2]צפי 2017'!$A$180:$G$331,7,FALSE)</f>
        <v>200000</v>
      </c>
      <c r="I198" s="289" t="s">
        <v>1971</v>
      </c>
      <c r="K198" s="294"/>
    </row>
    <row r="199" spans="1:11" x14ac:dyDescent="0.2">
      <c r="A199" s="289">
        <v>1841000981</v>
      </c>
      <c r="B199" s="289" t="s">
        <v>1463</v>
      </c>
      <c r="F199" s="290">
        <v>450000</v>
      </c>
      <c r="G199" s="297">
        <f t="shared" si="1"/>
        <v>450000</v>
      </c>
      <c r="H199" s="296">
        <f>VLOOKUP(A199,'[2]צפי 2017'!$A$180:$G$331,7,FALSE)</f>
        <v>450000</v>
      </c>
      <c r="K199" s="294"/>
    </row>
    <row r="200" spans="1:11" x14ac:dyDescent="0.2">
      <c r="A200" s="289">
        <v>1841000982</v>
      </c>
      <c r="B200" s="289" t="s">
        <v>1486</v>
      </c>
      <c r="F200" s="290">
        <v>0</v>
      </c>
      <c r="G200" s="297">
        <f t="shared" si="1"/>
        <v>0</v>
      </c>
      <c r="H200" s="296">
        <f>VLOOKUP(A200,'[2]צפי 2017'!$A$180:$G$331,7,FALSE)</f>
        <v>0</v>
      </c>
      <c r="K200" s="294"/>
    </row>
    <row r="201" spans="1:11" x14ac:dyDescent="0.2">
      <c r="A201" s="289">
        <v>1841100750</v>
      </c>
      <c r="B201" s="289" t="s">
        <v>714</v>
      </c>
      <c r="F201" s="290">
        <f>20000+10000</f>
        <v>30000</v>
      </c>
      <c r="G201" s="297">
        <f t="shared" si="1"/>
        <v>30000</v>
      </c>
      <c r="H201" s="296">
        <f>VLOOKUP(A201,'[2]צפי 2017'!$A$180:$G$331,7,FALSE)</f>
        <v>30000</v>
      </c>
      <c r="I201" s="289" t="s">
        <v>1972</v>
      </c>
      <c r="K201" s="294"/>
    </row>
    <row r="202" spans="1:11" x14ac:dyDescent="0.2">
      <c r="A202" s="289">
        <v>1842200840</v>
      </c>
      <c r="B202" s="289" t="s">
        <v>406</v>
      </c>
      <c r="F202" s="290">
        <v>180000</v>
      </c>
      <c r="G202" s="297">
        <f t="shared" si="1"/>
        <v>180000</v>
      </c>
      <c r="H202" s="296">
        <f>VLOOKUP(A202,'[2]צפי 2017'!$A$180:$G$331,7,FALSE)</f>
        <v>170000</v>
      </c>
      <c r="I202" s="289" t="s">
        <v>1973</v>
      </c>
      <c r="K202" s="294"/>
    </row>
    <row r="203" spans="1:11" x14ac:dyDescent="0.2">
      <c r="A203" s="289">
        <v>1842200843</v>
      </c>
      <c r="B203" s="289" t="s">
        <v>407</v>
      </c>
      <c r="F203" s="290">
        <v>160000</v>
      </c>
      <c r="G203" s="297">
        <f t="shared" si="1"/>
        <v>160000</v>
      </c>
      <c r="H203" s="296">
        <f>VLOOKUP(A203,'[2]צפי 2017'!$A$180:$G$331,7,FALSE)</f>
        <v>125092</v>
      </c>
      <c r="I203" s="289" t="s">
        <v>1974</v>
      </c>
      <c r="K203" s="294"/>
    </row>
    <row r="204" spans="1:11" x14ac:dyDescent="0.2">
      <c r="A204" s="289">
        <v>1842200844</v>
      </c>
      <c r="B204" s="289" t="s">
        <v>1026</v>
      </c>
      <c r="D204" s="290">
        <f>7680*1.02</f>
        <v>7833.6</v>
      </c>
      <c r="E204" s="290">
        <v>2</v>
      </c>
      <c r="F204" s="290">
        <f>E204*D204*12</f>
        <v>188006.40000000002</v>
      </c>
      <c r="G204" s="297">
        <f>F204+C204</f>
        <v>188006.40000000002</v>
      </c>
      <c r="H204" s="296">
        <f>VLOOKUP(A204,'[2]צפי 2017'!$A$180:$G$331,7,FALSE)</f>
        <v>111027</v>
      </c>
      <c r="K204" s="294"/>
    </row>
    <row r="205" spans="1:11" x14ac:dyDescent="0.2">
      <c r="A205" s="289">
        <v>1842200846</v>
      </c>
      <c r="B205" s="289" t="s">
        <v>409</v>
      </c>
      <c r="F205" s="290">
        <v>100000</v>
      </c>
      <c r="G205" s="297">
        <f>F205+C205</f>
        <v>100000</v>
      </c>
      <c r="H205" s="296">
        <f>VLOOKUP(A205,'[2]צפי 2017'!$A$180:$G$331,7,FALSE)</f>
        <v>16425</v>
      </c>
      <c r="I205" s="289" t="s">
        <v>1975</v>
      </c>
      <c r="K205" s="294"/>
    </row>
    <row r="206" spans="1:11" x14ac:dyDescent="0.2">
      <c r="A206" s="289">
        <v>1842200847</v>
      </c>
      <c r="B206" s="289" t="s">
        <v>1485</v>
      </c>
      <c r="F206" s="290">
        <v>10000</v>
      </c>
      <c r="G206" s="297">
        <f>F206+C206</f>
        <v>10000</v>
      </c>
      <c r="H206" s="296">
        <f>VLOOKUP(A206,'[2]צפי 2017'!$A$180:$G$331,7,FALSE)</f>
        <v>11077</v>
      </c>
      <c r="K206" s="294"/>
    </row>
    <row r="207" spans="1:11" x14ac:dyDescent="0.2">
      <c r="A207" s="289">
        <v>1842400841</v>
      </c>
      <c r="B207" s="289" t="s">
        <v>410</v>
      </c>
      <c r="F207" s="290">
        <v>40000</v>
      </c>
      <c r="G207" s="297">
        <f t="shared" si="1"/>
        <v>40000</v>
      </c>
      <c r="H207" s="296">
        <f>VLOOKUP(A207,'[2]צפי 2017'!$A$180:$G$331,7,FALSE)</f>
        <v>9600</v>
      </c>
      <c r="I207" s="289" t="s">
        <v>1976</v>
      </c>
      <c r="K207" s="294"/>
    </row>
    <row r="208" spans="1:11" x14ac:dyDescent="0.2">
      <c r="A208" s="289">
        <v>1842400844</v>
      </c>
      <c r="B208" s="289" t="s">
        <v>1027</v>
      </c>
      <c r="F208" s="290">
        <v>85000</v>
      </c>
      <c r="G208" s="297">
        <f t="shared" si="1"/>
        <v>85000</v>
      </c>
      <c r="H208" s="296">
        <f>VLOOKUP(A208,'[2]צפי 2017'!$A$180:$G$331,7,FALSE)</f>
        <v>85000</v>
      </c>
      <c r="I208" s="289" t="s">
        <v>1977</v>
      </c>
      <c r="K208" s="294"/>
    </row>
    <row r="209" spans="1:14" x14ac:dyDescent="0.2">
      <c r="A209" s="289">
        <v>1842400845</v>
      </c>
      <c r="B209" s="289" t="s">
        <v>411</v>
      </c>
      <c r="F209" s="290">
        <v>90000</v>
      </c>
      <c r="G209" s="297">
        <f t="shared" si="1"/>
        <v>90000</v>
      </c>
      <c r="H209" s="296">
        <f>VLOOKUP(A209,'[2]צפי 2017'!$A$180:$G$331,7,FALSE)</f>
        <v>68268.36</v>
      </c>
      <c r="I209" s="289" t="s">
        <v>1978</v>
      </c>
      <c r="K209" s="294"/>
    </row>
    <row r="210" spans="1:14" x14ac:dyDescent="0.2">
      <c r="A210" s="289">
        <v>1842400846</v>
      </c>
      <c r="B210" s="289" t="s">
        <v>1408</v>
      </c>
      <c r="G210" s="297">
        <f t="shared" si="1"/>
        <v>0</v>
      </c>
      <c r="H210" s="296">
        <f>VLOOKUP(A210,'[2]צפי 2017'!$A$180:$G$331,7,FALSE)</f>
        <v>12000</v>
      </c>
      <c r="I210" s="289" t="s">
        <v>1960</v>
      </c>
      <c r="K210" s="294"/>
    </row>
    <row r="211" spans="1:14" x14ac:dyDescent="0.2">
      <c r="A211" s="289">
        <v>1842400847</v>
      </c>
      <c r="B211" s="289" t="s">
        <v>1592</v>
      </c>
      <c r="F211" s="290">
        <v>12000</v>
      </c>
      <c r="G211" s="297">
        <f t="shared" si="1"/>
        <v>12000</v>
      </c>
      <c r="H211" s="296">
        <f>VLOOKUP(A211,'[2]צפי 2017'!$A$180:$G$331,7,FALSE)</f>
        <v>0</v>
      </c>
      <c r="K211" s="294"/>
    </row>
    <row r="212" spans="1:14" x14ac:dyDescent="0.2">
      <c r="A212" s="289">
        <v>1842401840</v>
      </c>
      <c r="B212" s="289" t="s">
        <v>412</v>
      </c>
      <c r="F212" s="290">
        <v>162000</v>
      </c>
      <c r="G212" s="297">
        <f t="shared" si="1"/>
        <v>162000</v>
      </c>
      <c r="H212" s="296">
        <f>VLOOKUP(A212,'[2]צפי 2017'!$A$180:$G$331,7,FALSE)</f>
        <v>162000</v>
      </c>
      <c r="K212" s="294"/>
    </row>
    <row r="213" spans="1:14" x14ac:dyDescent="0.2">
      <c r="A213" s="289">
        <v>1842401841</v>
      </c>
      <c r="B213" s="289" t="s">
        <v>1652</v>
      </c>
      <c r="F213" s="290">
        <v>150000</v>
      </c>
      <c r="G213" s="297">
        <f t="shared" si="1"/>
        <v>150000</v>
      </c>
      <c r="H213" s="296">
        <f>VLOOKUP(A213,'[2]צפי 2017'!$A$180:$G$331,7,FALSE)</f>
        <v>77792.959999999992</v>
      </c>
      <c r="I213" s="289" t="s">
        <v>1979</v>
      </c>
      <c r="K213" s="294"/>
    </row>
    <row r="214" spans="1:14" ht="54" customHeight="1" x14ac:dyDescent="0.2">
      <c r="A214" s="289">
        <v>1843500840</v>
      </c>
      <c r="B214" s="289" t="s">
        <v>85</v>
      </c>
      <c r="D214" s="290">
        <f>1788*1.02</f>
        <v>1823.76</v>
      </c>
      <c r="E214" s="290">
        <v>1</v>
      </c>
      <c r="F214" s="290">
        <f>E214*D214*12</f>
        <v>21885.119999999999</v>
      </c>
      <c r="G214" s="297">
        <f t="shared" si="1"/>
        <v>21885.119999999999</v>
      </c>
      <c r="H214" s="296">
        <f>VLOOKUP(A214,'[2]צפי 2017'!$A$180:$G$331,7,FALSE)</f>
        <v>7152</v>
      </c>
      <c r="I214" s="302"/>
      <c r="K214" s="294"/>
      <c r="L214" s="302"/>
      <c r="M214" s="302"/>
      <c r="N214" s="302"/>
    </row>
    <row r="215" spans="1:14" ht="42" customHeight="1" x14ac:dyDescent="0.2">
      <c r="A215" s="289">
        <v>1843500841</v>
      </c>
      <c r="B215" s="289" t="s">
        <v>413</v>
      </c>
      <c r="D215" s="290">
        <f>1604*1.02</f>
        <v>1636.08</v>
      </c>
      <c r="E215" s="290">
        <v>15</v>
      </c>
      <c r="F215" s="290">
        <f>E215*D215*12</f>
        <v>294494.39999999997</v>
      </c>
      <c r="G215" s="297">
        <f t="shared" si="1"/>
        <v>294494.39999999997</v>
      </c>
      <c r="H215" s="296">
        <f>VLOOKUP(A215,'[2]צפי 2017'!$A$180:$G$331,7,FALSE)</f>
        <v>290986</v>
      </c>
      <c r="I215" s="302"/>
      <c r="K215" s="294"/>
      <c r="L215" s="302"/>
      <c r="M215" s="302"/>
      <c r="N215" s="302"/>
    </row>
    <row r="216" spans="1:14" x14ac:dyDescent="0.2">
      <c r="A216" s="289">
        <v>1843500842</v>
      </c>
      <c r="B216" s="289" t="s">
        <v>414</v>
      </c>
      <c r="F216" s="290">
        <v>480000</v>
      </c>
      <c r="G216" s="297">
        <f t="shared" si="1"/>
        <v>480000</v>
      </c>
      <c r="H216" s="296">
        <f>VLOOKUP(A216,'[2]צפי 2017'!$A$180:$G$331,7,FALSE)</f>
        <v>453267</v>
      </c>
      <c r="I216" s="289" t="s">
        <v>1980</v>
      </c>
      <c r="K216" s="294"/>
    </row>
    <row r="217" spans="1:14" x14ac:dyDescent="0.2">
      <c r="A217" s="289">
        <v>1843500844</v>
      </c>
      <c r="B217" s="289" t="s">
        <v>415</v>
      </c>
      <c r="F217" s="290">
        <v>90000</v>
      </c>
      <c r="G217" s="297">
        <f t="shared" si="1"/>
        <v>90000</v>
      </c>
      <c r="H217" s="296">
        <f>VLOOKUP(A217,'[2]צפי 2017'!$A$180:$G$331,7,FALSE)</f>
        <v>90000</v>
      </c>
      <c r="I217" s="289" t="s">
        <v>1981</v>
      </c>
      <c r="K217" s="294"/>
    </row>
    <row r="218" spans="1:14" x14ac:dyDescent="0.2">
      <c r="A218" s="289">
        <v>1843500845</v>
      </c>
      <c r="B218" s="289" t="s">
        <v>416</v>
      </c>
      <c r="F218" s="290">
        <v>108000</v>
      </c>
      <c r="G218" s="297">
        <f t="shared" si="1"/>
        <v>108000</v>
      </c>
      <c r="H218" s="296">
        <f>VLOOKUP(A218,'[2]צפי 2017'!$A$180:$G$331,7,FALSE)</f>
        <v>94672.2</v>
      </c>
      <c r="I218" s="289" t="s">
        <v>1982</v>
      </c>
      <c r="K218" s="294"/>
    </row>
    <row r="219" spans="1:14" x14ac:dyDescent="0.2">
      <c r="A219" s="289">
        <v>1843500847</v>
      </c>
      <c r="B219" s="289" t="s">
        <v>417</v>
      </c>
      <c r="F219" s="290">
        <v>20000</v>
      </c>
      <c r="G219" s="297">
        <f t="shared" si="1"/>
        <v>20000</v>
      </c>
      <c r="H219" s="296">
        <f>VLOOKUP(A219,'[2]צפי 2017'!$A$180:$G$331,7,FALSE)</f>
        <v>6954</v>
      </c>
      <c r="I219" s="289" t="s">
        <v>1983</v>
      </c>
      <c r="K219" s="294"/>
    </row>
    <row r="220" spans="1:14" ht="64" x14ac:dyDescent="0.2">
      <c r="A220" s="289">
        <v>1843500849</v>
      </c>
      <c r="B220" s="289" t="s">
        <v>418</v>
      </c>
      <c r="F220" s="290">
        <v>160000</v>
      </c>
      <c r="G220" s="297">
        <f t="shared" si="1"/>
        <v>160000</v>
      </c>
      <c r="H220" s="296">
        <f>VLOOKUP(A220,'[2]צפי 2017'!$A$180:$G$331,7,FALSE)</f>
        <v>200112</v>
      </c>
      <c r="I220" s="302" t="s">
        <v>1984</v>
      </c>
      <c r="K220" s="294"/>
      <c r="L220" s="302"/>
      <c r="M220" s="302"/>
      <c r="N220" s="302"/>
    </row>
    <row r="221" spans="1:14" x14ac:dyDescent="0.2">
      <c r="A221" s="289">
        <v>1843500850</v>
      </c>
      <c r="B221" s="289" t="s">
        <v>58</v>
      </c>
      <c r="F221" s="290">
        <v>0</v>
      </c>
      <c r="G221" s="297">
        <f t="shared" si="1"/>
        <v>0</v>
      </c>
      <c r="H221" s="296">
        <f>VLOOKUP(A221,'[2]צפי 2017'!$A$180:$G$331,7,FALSE)</f>
        <v>0</v>
      </c>
      <c r="I221" s="289" t="s">
        <v>1949</v>
      </c>
      <c r="K221" s="294"/>
    </row>
    <row r="222" spans="1:14" x14ac:dyDescent="0.2">
      <c r="A222" s="289">
        <v>1843500851</v>
      </c>
      <c r="B222" s="289" t="s">
        <v>1593</v>
      </c>
      <c r="F222" s="290">
        <v>0</v>
      </c>
      <c r="G222" s="297">
        <f t="shared" si="1"/>
        <v>0</v>
      </c>
      <c r="H222" s="296">
        <f>VLOOKUP(A222,'[2]צפי 2017'!$A$180:$G$331,7,FALSE)</f>
        <v>0</v>
      </c>
      <c r="I222" s="289" t="s">
        <v>1949</v>
      </c>
      <c r="K222" s="294"/>
    </row>
    <row r="223" spans="1:14" x14ac:dyDescent="0.2">
      <c r="A223" s="289">
        <v>1843800840</v>
      </c>
      <c r="B223" s="289" t="s">
        <v>419</v>
      </c>
      <c r="D223" s="290">
        <f>7200*1.02</f>
        <v>7344</v>
      </c>
      <c r="E223" s="290">
        <v>64</v>
      </c>
      <c r="F223" s="290">
        <f>E223*D223*12</f>
        <v>5640192</v>
      </c>
      <c r="G223" s="297">
        <f>F223+C223</f>
        <v>5640192</v>
      </c>
      <c r="H223" s="296">
        <f>VLOOKUP(A223,'[2]צפי 2017'!$A$180:$G$331,7,FALSE)</f>
        <v>4990877</v>
      </c>
      <c r="K223" s="294"/>
    </row>
    <row r="224" spans="1:14" x14ac:dyDescent="0.2">
      <c r="A224" s="289">
        <v>1843800842</v>
      </c>
      <c r="B224" s="289" t="s">
        <v>190</v>
      </c>
      <c r="D224" s="303"/>
      <c r="E224" s="303"/>
      <c r="F224" s="303">
        <v>0</v>
      </c>
      <c r="G224" s="297">
        <f>F224+C224</f>
        <v>0</v>
      </c>
      <c r="H224" s="296">
        <f>VLOOKUP(A224,'[2]צפי 2017'!$A$180:$G$331,7,FALSE)</f>
        <v>0</v>
      </c>
      <c r="I224" s="289" t="s">
        <v>1949</v>
      </c>
      <c r="K224" s="294"/>
    </row>
    <row r="225" spans="1:11" x14ac:dyDescent="0.2">
      <c r="A225" s="289">
        <v>1843800845</v>
      </c>
      <c r="B225" s="289" t="s">
        <v>420</v>
      </c>
      <c r="F225" s="290">
        <v>320000</v>
      </c>
      <c r="G225" s="297">
        <f>F225+C225</f>
        <v>320000</v>
      </c>
      <c r="H225" s="296">
        <f>VLOOKUP(A225,'[2]צפי 2017'!$A$180:$G$331,7,FALSE)</f>
        <v>144921.12</v>
      </c>
      <c r="I225" s="289" t="s">
        <v>1985</v>
      </c>
      <c r="K225" s="294"/>
    </row>
    <row r="226" spans="1:11" x14ac:dyDescent="0.2">
      <c r="A226" s="289">
        <v>1843900840</v>
      </c>
      <c r="B226" s="289" t="s">
        <v>421</v>
      </c>
      <c r="D226" s="290">
        <f>2188*1.02</f>
        <v>2231.7600000000002</v>
      </c>
      <c r="E226" s="290">
        <f>40+90</f>
        <v>130</v>
      </c>
      <c r="F226" s="290">
        <f>E226*D226*12</f>
        <v>3481545.6000000006</v>
      </c>
      <c r="G226" s="297">
        <f t="shared" si="1"/>
        <v>3481545.6000000006</v>
      </c>
      <c r="H226" s="296">
        <f>VLOOKUP(A226,'[2]צפי 2017'!$A$180:$G$331,7,FALSE)</f>
        <v>3494137</v>
      </c>
      <c r="I226" s="289" t="s">
        <v>1986</v>
      </c>
      <c r="K226" s="294"/>
    </row>
    <row r="227" spans="1:11" x14ac:dyDescent="0.2">
      <c r="A227" s="289">
        <v>1844000430</v>
      </c>
      <c r="B227" s="289" t="s">
        <v>1028</v>
      </c>
      <c r="F227" s="290">
        <f>(150+26)*12</f>
        <v>2112</v>
      </c>
      <c r="G227" s="297">
        <f t="shared" si="1"/>
        <v>2112</v>
      </c>
      <c r="H227" s="296">
        <f>VLOOKUP(A227,'[2]צפי 2017'!$A$180:$G$331,7,FALSE)</f>
        <v>2020.09</v>
      </c>
      <c r="I227" s="289" t="s">
        <v>1987</v>
      </c>
      <c r="K227" s="294"/>
    </row>
    <row r="228" spans="1:11" x14ac:dyDescent="0.2">
      <c r="A228" s="289">
        <v>1844300840</v>
      </c>
      <c r="B228" s="289" t="s">
        <v>300</v>
      </c>
      <c r="D228" s="290">
        <f>9150*1.02</f>
        <v>9333</v>
      </c>
      <c r="E228" s="290">
        <v>53</v>
      </c>
      <c r="F228" s="290">
        <f>E228*D228*12</f>
        <v>5935788</v>
      </c>
      <c r="G228" s="297">
        <f t="shared" si="1"/>
        <v>5935788</v>
      </c>
      <c r="H228" s="296">
        <f>VLOOKUP(A228,'[2]צפי 2017'!$A$180:$G$331,7,FALSE)</f>
        <v>5434309</v>
      </c>
      <c r="I228" s="289" t="s">
        <v>1986</v>
      </c>
      <c r="K228" s="294"/>
    </row>
    <row r="229" spans="1:11" x14ac:dyDescent="0.2">
      <c r="A229" s="289">
        <v>1844300842</v>
      </c>
      <c r="B229" s="289" t="s">
        <v>59</v>
      </c>
      <c r="F229" s="290">
        <v>0</v>
      </c>
      <c r="G229" s="297">
        <f t="shared" si="1"/>
        <v>0</v>
      </c>
      <c r="H229" s="296">
        <f>VLOOKUP(A229,'[2]צפי 2017'!$A$180:$G$331,7,FALSE)</f>
        <v>0</v>
      </c>
      <c r="I229" s="289" t="s">
        <v>1949</v>
      </c>
      <c r="K229" s="294"/>
    </row>
    <row r="230" spans="1:11" x14ac:dyDescent="0.2">
      <c r="A230" s="289">
        <v>1844400780</v>
      </c>
      <c r="B230" s="289" t="s">
        <v>1029</v>
      </c>
      <c r="F230" s="290">
        <v>60000</v>
      </c>
      <c r="G230" s="297">
        <f t="shared" si="1"/>
        <v>60000</v>
      </c>
      <c r="H230" s="296">
        <f>VLOOKUP(A230,'[2]צפי 2017'!$A$180:$G$331,7,FALSE)</f>
        <v>60000</v>
      </c>
      <c r="I230" s="289" t="s">
        <v>1988</v>
      </c>
      <c r="K230" s="294"/>
    </row>
    <row r="231" spans="1:11" x14ac:dyDescent="0.2">
      <c r="A231" s="289">
        <v>1844400840</v>
      </c>
      <c r="B231" s="289" t="s">
        <v>1482</v>
      </c>
      <c r="F231" s="290">
        <f>50000+150000</f>
        <v>200000</v>
      </c>
      <c r="G231" s="297">
        <f t="shared" si="1"/>
        <v>200000</v>
      </c>
      <c r="H231" s="296">
        <f>VLOOKUP(A231,'[2]צפי 2017'!$A$180:$G$331,7,FALSE)</f>
        <v>48555</v>
      </c>
      <c r="I231" s="289" t="s">
        <v>1989</v>
      </c>
      <c r="K231" s="294"/>
    </row>
    <row r="232" spans="1:11" x14ac:dyDescent="0.2">
      <c r="A232" s="289">
        <v>1844400841</v>
      </c>
      <c r="B232" s="289" t="s">
        <v>422</v>
      </c>
      <c r="F232" s="290">
        <v>100000</v>
      </c>
      <c r="G232" s="297">
        <f t="shared" si="1"/>
        <v>100000</v>
      </c>
      <c r="H232" s="296">
        <f>VLOOKUP(A232,'[2]צפי 2017'!$A$180:$G$331,7,FALSE)</f>
        <v>100000</v>
      </c>
      <c r="I232" s="289" t="s">
        <v>1990</v>
      </c>
      <c r="K232" s="294"/>
    </row>
    <row r="233" spans="1:11" x14ac:dyDescent="0.2">
      <c r="A233" s="289">
        <v>1844400842</v>
      </c>
      <c r="B233" s="289" t="s">
        <v>423</v>
      </c>
      <c r="F233" s="290">
        <v>220000</v>
      </c>
      <c r="G233" s="297">
        <f t="shared" si="1"/>
        <v>220000</v>
      </c>
      <c r="H233" s="296">
        <f>VLOOKUP(A233,'[2]צפי 2017'!$A$180:$G$331,7,FALSE)</f>
        <v>190000</v>
      </c>
      <c r="I233" s="289" t="s">
        <v>1991</v>
      </c>
      <c r="K233" s="294"/>
    </row>
    <row r="234" spans="1:11" x14ac:dyDescent="0.2">
      <c r="A234" s="289">
        <v>1844400843</v>
      </c>
      <c r="B234" s="289" t="s">
        <v>1194</v>
      </c>
      <c r="F234" s="290">
        <v>0</v>
      </c>
      <c r="G234" s="297">
        <f t="shared" si="1"/>
        <v>0</v>
      </c>
      <c r="H234" s="296">
        <f>VLOOKUP(A234,'[2]צפי 2017'!$A$180:$G$331,7,FALSE)</f>
        <v>0</v>
      </c>
      <c r="I234" s="289" t="s">
        <v>1949</v>
      </c>
      <c r="K234" s="294"/>
    </row>
    <row r="235" spans="1:11" x14ac:dyDescent="0.2">
      <c r="A235" s="289">
        <v>1844400844</v>
      </c>
      <c r="B235" s="289" t="s">
        <v>193</v>
      </c>
      <c r="F235" s="290">
        <v>0</v>
      </c>
      <c r="G235" s="297">
        <f t="shared" si="1"/>
        <v>0</v>
      </c>
      <c r="H235" s="296">
        <f>VLOOKUP(A235,'[2]צפי 2017'!$A$180:$G$331,7,FALSE)</f>
        <v>0</v>
      </c>
      <c r="I235" s="289" t="s">
        <v>1949</v>
      </c>
      <c r="K235" s="294"/>
    </row>
    <row r="236" spans="1:11" x14ac:dyDescent="0.2">
      <c r="A236" s="289">
        <v>1844400845</v>
      </c>
      <c r="B236" s="289" t="s">
        <v>425</v>
      </c>
      <c r="F236" s="290">
        <v>30000</v>
      </c>
      <c r="G236" s="297">
        <f t="shared" si="1"/>
        <v>30000</v>
      </c>
      <c r="H236" s="296">
        <f>VLOOKUP(A236,'[2]צפי 2017'!$A$180:$G$331,7,FALSE)</f>
        <v>30000</v>
      </c>
      <c r="I236" s="289" t="s">
        <v>1992</v>
      </c>
      <c r="K236" s="294"/>
    </row>
    <row r="237" spans="1:11" x14ac:dyDescent="0.2">
      <c r="A237" s="289">
        <v>1844400846</v>
      </c>
      <c r="B237" s="289" t="s">
        <v>60</v>
      </c>
      <c r="F237" s="290">
        <v>0</v>
      </c>
      <c r="G237" s="297">
        <f t="shared" si="1"/>
        <v>0</v>
      </c>
      <c r="H237" s="296">
        <f>VLOOKUP(A237,'[2]צפי 2017'!$A$180:$G$331,7,FALSE)</f>
        <v>0</v>
      </c>
      <c r="I237" s="289" t="s">
        <v>1949</v>
      </c>
      <c r="K237" s="294"/>
    </row>
    <row r="238" spans="1:11" x14ac:dyDescent="0.2">
      <c r="A238" s="289">
        <v>1844400849</v>
      </c>
      <c r="B238" s="289" t="s">
        <v>426</v>
      </c>
      <c r="F238" s="290">
        <f>35000*12</f>
        <v>420000</v>
      </c>
      <c r="G238" s="297">
        <f t="shared" si="1"/>
        <v>420000</v>
      </c>
      <c r="H238" s="296">
        <f>VLOOKUP(A238,'[2]צפי 2017'!$A$180:$G$331,7,FALSE)</f>
        <v>413067</v>
      </c>
      <c r="I238" s="289" t="s">
        <v>1993</v>
      </c>
      <c r="K238" s="294"/>
    </row>
    <row r="239" spans="1:11" x14ac:dyDescent="0.2">
      <c r="A239" s="289">
        <v>1844400852</v>
      </c>
      <c r="B239" s="289" t="s">
        <v>1722</v>
      </c>
      <c r="F239" s="290">
        <v>0</v>
      </c>
      <c r="G239" s="297">
        <f t="shared" si="1"/>
        <v>0</v>
      </c>
      <c r="H239" s="296">
        <f>VLOOKUP(A239,'[2]צפי 2017'!$A$180:$G$331,7,FALSE)</f>
        <v>13318</v>
      </c>
      <c r="I239" s="289" t="s">
        <v>1949</v>
      </c>
      <c r="K239" s="294"/>
    </row>
    <row r="240" spans="1:11" x14ac:dyDescent="0.2">
      <c r="A240" s="289">
        <v>1844400853</v>
      </c>
      <c r="B240" s="289" t="s">
        <v>1994</v>
      </c>
      <c r="F240" s="290">
        <v>100000</v>
      </c>
      <c r="G240" s="297">
        <f t="shared" si="1"/>
        <v>100000</v>
      </c>
      <c r="H240" s="296">
        <f>VLOOKUP(A240,'[2]צפי 2017'!$A$180:$G$331,7,FALSE)</f>
        <v>27416</v>
      </c>
      <c r="I240" s="289" t="s">
        <v>1995</v>
      </c>
      <c r="K240" s="294"/>
    </row>
    <row r="241" spans="1:11" x14ac:dyDescent="0.2">
      <c r="A241" s="289">
        <v>1844500840</v>
      </c>
      <c r="B241" s="289" t="s">
        <v>427</v>
      </c>
      <c r="F241" s="290">
        <v>650000</v>
      </c>
      <c r="G241" s="297">
        <f>F241+C241</f>
        <v>650000</v>
      </c>
      <c r="H241" s="296">
        <f>VLOOKUP(A241,'[2]צפי 2017'!$A$180:$G$331,7,FALSE)</f>
        <v>294499</v>
      </c>
      <c r="I241" s="289" t="s">
        <v>1996</v>
      </c>
      <c r="K241" s="294"/>
    </row>
    <row r="242" spans="1:11" x14ac:dyDescent="0.2">
      <c r="A242" s="289">
        <v>1844500843</v>
      </c>
      <c r="B242" s="289" t="s">
        <v>1650</v>
      </c>
      <c r="F242" s="290">
        <f>250000+31076</f>
        <v>281076</v>
      </c>
      <c r="G242" s="297">
        <f t="shared" si="1"/>
        <v>281076</v>
      </c>
      <c r="H242" s="296">
        <f>VLOOKUP(A242,'[2]צפי 2017'!$A$180:$G$331,7,FALSE)</f>
        <v>250000</v>
      </c>
      <c r="I242" s="289" t="s">
        <v>1997</v>
      </c>
      <c r="K242" s="294"/>
    </row>
    <row r="243" spans="1:11" x14ac:dyDescent="0.2">
      <c r="A243" s="289">
        <v>1844500845</v>
      </c>
      <c r="B243" s="289" t="s">
        <v>1649</v>
      </c>
      <c r="F243" s="290">
        <f>250000+26770</f>
        <v>276770</v>
      </c>
      <c r="G243" s="297">
        <f>F243+C243</f>
        <v>276770</v>
      </c>
      <c r="H243" s="296">
        <f>VLOOKUP(A243,'[2]צפי 2017'!$A$180:$G$331,7,FALSE)</f>
        <v>252000</v>
      </c>
      <c r="I243" s="289" t="s">
        <v>1998</v>
      </c>
      <c r="K243" s="294"/>
    </row>
    <row r="244" spans="1:11" x14ac:dyDescent="0.2">
      <c r="A244" s="289">
        <v>1845100842</v>
      </c>
      <c r="B244" s="289" t="s">
        <v>431</v>
      </c>
      <c r="D244" s="290">
        <f>17000*1.02</f>
        <v>17340</v>
      </c>
      <c r="E244" s="290">
        <v>6</v>
      </c>
      <c r="F244" s="290">
        <f>E244*D244*12</f>
        <v>1248480</v>
      </c>
      <c r="G244" s="297">
        <f t="shared" si="1"/>
        <v>1248480</v>
      </c>
      <c r="H244" s="296">
        <f>VLOOKUP(A244,'[2]צפי 2017'!$A$180:$G$331,7,FALSE)</f>
        <v>1022287</v>
      </c>
      <c r="I244" s="289" t="s">
        <v>1986</v>
      </c>
      <c r="K244" s="294"/>
    </row>
    <row r="245" spans="1:11" x14ac:dyDescent="0.2">
      <c r="A245" s="289">
        <v>1845100843</v>
      </c>
      <c r="B245" s="289" t="s">
        <v>432</v>
      </c>
      <c r="F245" s="290">
        <v>50000</v>
      </c>
      <c r="G245" s="297">
        <f t="shared" si="1"/>
        <v>50000</v>
      </c>
      <c r="H245" s="296">
        <f>VLOOKUP(A245,'[2]צפי 2017'!$A$180:$G$331,7,FALSE)</f>
        <v>55435</v>
      </c>
      <c r="I245" s="289" t="s">
        <v>1986</v>
      </c>
      <c r="K245" s="294"/>
    </row>
    <row r="246" spans="1:11" x14ac:dyDescent="0.2">
      <c r="A246" s="289">
        <v>1845100844</v>
      </c>
      <c r="B246" s="289" t="s">
        <v>1196</v>
      </c>
      <c r="F246" s="290">
        <v>10000</v>
      </c>
      <c r="G246" s="297">
        <f t="shared" si="1"/>
        <v>10000</v>
      </c>
      <c r="H246" s="296">
        <f>VLOOKUP(A246,'[2]צפי 2017'!$A$180:$G$331,7,FALSE)</f>
        <v>5220</v>
      </c>
      <c r="K246" s="294"/>
    </row>
    <row r="247" spans="1:11" x14ac:dyDescent="0.2">
      <c r="A247" s="289">
        <v>1845100845</v>
      </c>
      <c r="B247" s="289" t="s">
        <v>433</v>
      </c>
      <c r="D247" s="290">
        <f>841*1.02</f>
        <v>857.82</v>
      </c>
      <c r="E247" s="290">
        <v>2</v>
      </c>
      <c r="F247" s="290">
        <f>E247*D247*12</f>
        <v>20587.68</v>
      </c>
      <c r="G247" s="297">
        <f t="shared" si="1"/>
        <v>20587.68</v>
      </c>
      <c r="H247" s="296">
        <f>VLOOKUP(A247,'[2]צפי 2017'!$A$180:$G$331,7,FALSE)</f>
        <v>20012</v>
      </c>
      <c r="I247" s="289" t="s">
        <v>1986</v>
      </c>
      <c r="K247" s="294"/>
    </row>
    <row r="248" spans="1:11" x14ac:dyDescent="0.2">
      <c r="A248" s="289">
        <v>1845100846</v>
      </c>
      <c r="B248" s="289" t="s">
        <v>434</v>
      </c>
      <c r="D248" s="290">
        <f>5250</f>
        <v>5250</v>
      </c>
      <c r="E248" s="290">
        <v>3</v>
      </c>
      <c r="F248" s="290">
        <f>E248*D248*12</f>
        <v>189000</v>
      </c>
      <c r="G248" s="297">
        <f t="shared" si="1"/>
        <v>189000</v>
      </c>
      <c r="H248" s="296">
        <f>VLOOKUP(A248,'[2]צפי 2017'!$A$180:$G$331,7,FALSE)</f>
        <v>136338</v>
      </c>
      <c r="I248" s="289" t="s">
        <v>1986</v>
      </c>
      <c r="K248" s="294"/>
    </row>
    <row r="249" spans="1:11" x14ac:dyDescent="0.2">
      <c r="A249" s="289">
        <v>1845100847</v>
      </c>
      <c r="B249" s="289" t="s">
        <v>94</v>
      </c>
      <c r="F249" s="290">
        <v>0</v>
      </c>
      <c r="G249" s="297">
        <f t="shared" si="1"/>
        <v>0</v>
      </c>
      <c r="H249" s="296">
        <f>VLOOKUP(A249,'[2]צפי 2017'!$A$180:$G$331,7,FALSE)</f>
        <v>0</v>
      </c>
      <c r="I249" s="289" t="s">
        <v>1949</v>
      </c>
      <c r="K249" s="294"/>
    </row>
    <row r="250" spans="1:11" x14ac:dyDescent="0.2">
      <c r="A250" s="289">
        <v>1845100848</v>
      </c>
      <c r="B250" s="289" t="s">
        <v>1412</v>
      </c>
      <c r="D250" s="290">
        <f>4346*1.02</f>
        <v>4432.92</v>
      </c>
      <c r="E250" s="290">
        <v>2</v>
      </c>
      <c r="F250" s="290">
        <f>E250*D250*12</f>
        <v>106390.08</v>
      </c>
      <c r="G250" s="297">
        <f t="shared" si="1"/>
        <v>106390.08</v>
      </c>
      <c r="H250" s="296">
        <f>VLOOKUP(A250,'[2]צפי 2017'!$A$180:$G$331,7,FALSE)</f>
        <v>52031</v>
      </c>
      <c r="I250" s="289" t="s">
        <v>1986</v>
      </c>
      <c r="K250" s="294"/>
    </row>
    <row r="251" spans="1:11" x14ac:dyDescent="0.2">
      <c r="A251" s="289">
        <v>1845100849</v>
      </c>
      <c r="B251" s="289" t="s">
        <v>1413</v>
      </c>
      <c r="F251" s="290">
        <f>2000*10+500*2</f>
        <v>21000</v>
      </c>
      <c r="G251" s="297">
        <f t="shared" si="1"/>
        <v>21000</v>
      </c>
      <c r="H251" s="296">
        <f>VLOOKUP(A251,'[2]צפי 2017'!$A$180:$G$331,7,FALSE)</f>
        <v>21887</v>
      </c>
      <c r="I251" s="289" t="s">
        <v>1999</v>
      </c>
      <c r="K251" s="294"/>
    </row>
    <row r="252" spans="1:11" x14ac:dyDescent="0.2">
      <c r="A252" s="289">
        <v>1845100850</v>
      </c>
      <c r="B252" s="289" t="s">
        <v>61</v>
      </c>
      <c r="D252" s="290">
        <f>12300*1.02</f>
        <v>12546</v>
      </c>
      <c r="E252" s="290">
        <v>85</v>
      </c>
      <c r="F252" s="290">
        <f>E252*D252*12</f>
        <v>12796920</v>
      </c>
      <c r="G252" s="297">
        <f t="shared" si="1"/>
        <v>12796920</v>
      </c>
      <c r="H252" s="296">
        <f>VLOOKUP(A252,'[2]צפי 2017'!$A$180:$G$331,7,FALSE)</f>
        <v>12379886</v>
      </c>
      <c r="I252" s="289" t="s">
        <v>1986</v>
      </c>
      <c r="K252" s="294"/>
    </row>
    <row r="253" spans="1:11" x14ac:dyDescent="0.2">
      <c r="A253" s="289">
        <v>1845100851</v>
      </c>
      <c r="B253" s="289" t="s">
        <v>86</v>
      </c>
      <c r="G253" s="297">
        <f t="shared" si="1"/>
        <v>0</v>
      </c>
      <c r="H253" s="296">
        <f>VLOOKUP(A253,'[2]צפי 2017'!$A$180:$G$331,7,FALSE)</f>
        <v>3060425</v>
      </c>
      <c r="I253" s="289" t="s">
        <v>2000</v>
      </c>
      <c r="K253" s="294"/>
    </row>
    <row r="254" spans="1:11" x14ac:dyDescent="0.2">
      <c r="A254" s="289">
        <v>1845100852</v>
      </c>
      <c r="B254" s="289" t="s">
        <v>1480</v>
      </c>
      <c r="F254" s="290">
        <f>(9*1100*1.02+1*330*1.02)*12</f>
        <v>125215.20000000001</v>
      </c>
      <c r="G254" s="297">
        <f t="shared" si="1"/>
        <v>125215.20000000001</v>
      </c>
      <c r="H254" s="296">
        <f>VLOOKUP(A254,'[2]צפי 2017'!$A$180:$G$331,7,FALSE)</f>
        <v>137493</v>
      </c>
      <c r="I254" s="289" t="s">
        <v>2001</v>
      </c>
      <c r="K254" s="294"/>
    </row>
    <row r="255" spans="1:11" x14ac:dyDescent="0.2">
      <c r="A255" s="289">
        <v>1845100853</v>
      </c>
      <c r="B255" s="289" t="s">
        <v>2002</v>
      </c>
      <c r="D255" s="290">
        <f>13300*1.02</f>
        <v>13566</v>
      </c>
      <c r="E255" s="290">
        <v>19</v>
      </c>
      <c r="F255" s="290">
        <f>E255*D255*12</f>
        <v>3093048</v>
      </c>
      <c r="G255" s="297">
        <f>F255+C255</f>
        <v>3093048</v>
      </c>
      <c r="H255" s="296">
        <f>VLOOKUP(A255,'[2]צפי 2017'!$A$180:$G$331,7,FALSE)</f>
        <v>0</v>
      </c>
      <c r="K255" s="294"/>
    </row>
    <row r="256" spans="1:11" x14ac:dyDescent="0.2">
      <c r="A256" s="289">
        <v>1845200840</v>
      </c>
      <c r="B256" s="289" t="s">
        <v>1030</v>
      </c>
      <c r="G256" s="297">
        <f t="shared" si="1"/>
        <v>0</v>
      </c>
      <c r="H256" s="296">
        <f>VLOOKUP(A256,'[2]צפי 2017'!$A$180:$G$331,7,FALSE)</f>
        <v>0</v>
      </c>
      <c r="I256" s="289" t="s">
        <v>1949</v>
      </c>
      <c r="K256" s="294"/>
    </row>
    <row r="257" spans="1:11" x14ac:dyDescent="0.2">
      <c r="A257" s="289">
        <v>1845200841</v>
      </c>
      <c r="B257" s="289" t="s">
        <v>1031</v>
      </c>
      <c r="F257" s="290">
        <f>140*12</f>
        <v>1680</v>
      </c>
      <c r="G257" s="297">
        <f t="shared" ref="G257:G326" si="2">F257+C257</f>
        <v>1680</v>
      </c>
      <c r="H257" s="296">
        <f>VLOOKUP(A257,'[2]צפי 2017'!$A$180:$G$331,7,FALSE)</f>
        <v>1627.48</v>
      </c>
      <c r="I257" s="289" t="s">
        <v>2003</v>
      </c>
      <c r="K257" s="294"/>
    </row>
    <row r="258" spans="1:11" x14ac:dyDescent="0.2">
      <c r="A258" s="289">
        <v>1845200842</v>
      </c>
      <c r="B258" s="289" t="s">
        <v>1032</v>
      </c>
      <c r="D258" s="290">
        <f>1780*1.02</f>
        <v>1815.6000000000001</v>
      </c>
      <c r="E258" s="290">
        <v>37</v>
      </c>
      <c r="F258" s="290">
        <f>E258*D258*12</f>
        <v>806126.40000000014</v>
      </c>
      <c r="G258" s="297">
        <f t="shared" si="2"/>
        <v>806126.40000000014</v>
      </c>
      <c r="H258" s="296">
        <f>VLOOKUP(A258,'[2]צפי 2017'!$A$180:$G$331,7,FALSE)</f>
        <v>622558</v>
      </c>
      <c r="I258" s="289" t="s">
        <v>1986</v>
      </c>
      <c r="K258" s="294"/>
    </row>
    <row r="259" spans="1:11" x14ac:dyDescent="0.2">
      <c r="A259" s="289">
        <v>1845200846</v>
      </c>
      <c r="B259" s="289" t="s">
        <v>63</v>
      </c>
      <c r="F259" s="290">
        <v>50000</v>
      </c>
      <c r="G259" s="297">
        <f t="shared" si="2"/>
        <v>50000</v>
      </c>
      <c r="H259" s="296">
        <f>VLOOKUP(A259,'[2]צפי 2017'!$A$180:$G$331,7,FALSE)</f>
        <v>50000</v>
      </c>
      <c r="I259" s="289" t="s">
        <v>2004</v>
      </c>
      <c r="K259" s="294"/>
    </row>
    <row r="260" spans="1:11" x14ac:dyDescent="0.2">
      <c r="A260" s="289">
        <v>1845200847</v>
      </c>
      <c r="B260" s="289" t="s">
        <v>64</v>
      </c>
      <c r="D260" s="290">
        <f>2727*1.02</f>
        <v>2781.54</v>
      </c>
      <c r="E260" s="290">
        <v>42</v>
      </c>
      <c r="F260" s="290">
        <f>E260*D260*12</f>
        <v>1401896.16</v>
      </c>
      <c r="G260" s="297">
        <f t="shared" si="2"/>
        <v>1401896.16</v>
      </c>
      <c r="H260" s="296">
        <f>VLOOKUP(A260,'[2]צפי 2017'!$A$180:$G$331,7,FALSE)</f>
        <v>1190208</v>
      </c>
      <c r="I260" s="289" t="s">
        <v>2005</v>
      </c>
      <c r="K260" s="294"/>
    </row>
    <row r="261" spans="1:11" x14ac:dyDescent="0.2">
      <c r="A261" s="289">
        <v>1845300840</v>
      </c>
      <c r="B261" s="289" t="s">
        <v>298</v>
      </c>
      <c r="F261" s="290">
        <v>0</v>
      </c>
      <c r="G261" s="297">
        <f t="shared" si="2"/>
        <v>0</v>
      </c>
      <c r="H261" s="296">
        <f>VLOOKUP(A261,'[2]צפי 2017'!$A$180:$G$331,7,FALSE)</f>
        <v>0</v>
      </c>
      <c r="I261" s="289" t="s">
        <v>1949</v>
      </c>
      <c r="K261" s="294"/>
    </row>
    <row r="262" spans="1:11" x14ac:dyDescent="0.2">
      <c r="A262" s="289">
        <v>1845300841</v>
      </c>
      <c r="B262" s="289" t="s">
        <v>439</v>
      </c>
      <c r="D262" s="290">
        <v>355</v>
      </c>
      <c r="E262" s="290">
        <v>80</v>
      </c>
      <c r="F262" s="290">
        <f>E262*D262</f>
        <v>28400</v>
      </c>
      <c r="G262" s="297">
        <f t="shared" si="2"/>
        <v>28400</v>
      </c>
      <c r="H262" s="296">
        <f>VLOOKUP(A262,'[2]צפי 2017'!$A$180:$G$331,7,FALSE)</f>
        <v>23904</v>
      </c>
      <c r="I262" s="289" t="s">
        <v>2006</v>
      </c>
      <c r="K262" s="294"/>
    </row>
    <row r="263" spans="1:11" x14ac:dyDescent="0.2">
      <c r="A263" s="289">
        <v>1845300843</v>
      </c>
      <c r="B263" s="289" t="s">
        <v>440</v>
      </c>
      <c r="F263" s="290">
        <v>0</v>
      </c>
      <c r="G263" s="297">
        <f t="shared" si="2"/>
        <v>0</v>
      </c>
      <c r="H263" s="296">
        <f>VLOOKUP(A263,'[2]צפי 2017'!$A$180:$G$331,7,FALSE)</f>
        <v>0</v>
      </c>
      <c r="I263" s="289" t="s">
        <v>1949</v>
      </c>
      <c r="K263" s="294"/>
    </row>
    <row r="264" spans="1:11" x14ac:dyDescent="0.2">
      <c r="A264" s="289">
        <v>1845300846</v>
      </c>
      <c r="B264" s="289" t="s">
        <v>87</v>
      </c>
      <c r="D264" s="290">
        <f>1954*1.02</f>
        <v>1993.08</v>
      </c>
      <c r="E264" s="290">
        <v>12</v>
      </c>
      <c r="F264" s="290">
        <f>E264*D264</f>
        <v>23916.959999999999</v>
      </c>
      <c r="G264" s="297">
        <f t="shared" si="2"/>
        <v>23916.959999999999</v>
      </c>
      <c r="H264" s="296">
        <f>VLOOKUP(A264,'[2]צפי 2017'!$A$180:$G$331,7,FALSE)</f>
        <v>43834</v>
      </c>
      <c r="I264" s="289" t="s">
        <v>2007</v>
      </c>
      <c r="K264" s="294"/>
    </row>
    <row r="265" spans="1:11" x14ac:dyDescent="0.2">
      <c r="A265" s="289">
        <v>1845300847</v>
      </c>
      <c r="B265" s="289" t="s">
        <v>65</v>
      </c>
      <c r="F265" s="290">
        <f>35000*12</f>
        <v>420000</v>
      </c>
      <c r="G265" s="297">
        <f t="shared" si="2"/>
        <v>420000</v>
      </c>
      <c r="H265" s="296">
        <f>VLOOKUP(A265,'[2]צפי 2017'!$A$180:$G$331,7,FALSE)</f>
        <v>487985</v>
      </c>
      <c r="I265" s="289" t="s">
        <v>1986</v>
      </c>
      <c r="K265" s="294"/>
    </row>
    <row r="266" spans="1:11" x14ac:dyDescent="0.2">
      <c r="A266" s="289">
        <v>1845300848</v>
      </c>
      <c r="B266" s="289" t="s">
        <v>66</v>
      </c>
      <c r="D266" s="290">
        <f>341*1.02</f>
        <v>347.82</v>
      </c>
      <c r="E266" s="290">
        <v>15</v>
      </c>
      <c r="F266" s="290">
        <f>E266*D266*12</f>
        <v>62607.600000000006</v>
      </c>
      <c r="G266" s="297">
        <f t="shared" si="2"/>
        <v>62607.600000000006</v>
      </c>
      <c r="H266" s="296">
        <f>VLOOKUP(A266,'[2]צפי 2017'!$A$180:$G$331,7,FALSE)</f>
        <v>49186</v>
      </c>
      <c r="I266" s="289" t="s">
        <v>1986</v>
      </c>
      <c r="K266" s="294"/>
    </row>
    <row r="267" spans="1:11" x14ac:dyDescent="0.2">
      <c r="A267" s="289">
        <v>1846100840</v>
      </c>
      <c r="B267" s="289" t="s">
        <v>442</v>
      </c>
      <c r="D267" s="290">
        <f>13891*1.02</f>
        <v>14168.82</v>
      </c>
      <c r="E267" s="290">
        <v>1</v>
      </c>
      <c r="F267" s="290">
        <f>E267*D267*12</f>
        <v>170025.84</v>
      </c>
      <c r="G267" s="297">
        <f>F267+C267</f>
        <v>170025.84</v>
      </c>
      <c r="H267" s="296">
        <f>VLOOKUP(A267,'[2]צפי 2017'!$A$180:$G$331,7,FALSE)</f>
        <v>174469</v>
      </c>
      <c r="I267" s="289" t="s">
        <v>1986</v>
      </c>
      <c r="K267" s="294"/>
    </row>
    <row r="268" spans="1:11" x14ac:dyDescent="0.2">
      <c r="A268" s="289">
        <v>1846300841</v>
      </c>
      <c r="B268" s="289" t="s">
        <v>443</v>
      </c>
      <c r="F268" s="290">
        <v>60000</v>
      </c>
      <c r="G268" s="297">
        <f t="shared" si="2"/>
        <v>60000</v>
      </c>
      <c r="H268" s="296">
        <f>VLOOKUP(A268,'[2]צפי 2017'!$A$180:$G$331,7,FALSE)</f>
        <v>63000</v>
      </c>
      <c r="I268" s="289" t="s">
        <v>2008</v>
      </c>
      <c r="K268" s="294"/>
    </row>
    <row r="269" spans="1:11" x14ac:dyDescent="0.2">
      <c r="A269" s="289">
        <v>1846300843</v>
      </c>
      <c r="B269" s="289" t="s">
        <v>444</v>
      </c>
      <c r="F269" s="290">
        <f>700*12</f>
        <v>8400</v>
      </c>
      <c r="G269" s="297">
        <f t="shared" si="2"/>
        <v>8400</v>
      </c>
      <c r="H269" s="296">
        <f>VLOOKUP(A269,'[2]צפי 2017'!$A$180:$G$331,7,FALSE)</f>
        <v>7332.4500000000007</v>
      </c>
      <c r="I269" s="289" t="s">
        <v>2009</v>
      </c>
      <c r="K269" s="294"/>
    </row>
    <row r="270" spans="1:11" x14ac:dyDescent="0.2">
      <c r="A270" s="289">
        <v>1846400780</v>
      </c>
      <c r="B270" s="289" t="s">
        <v>1033</v>
      </c>
      <c r="F270" s="290">
        <v>8000</v>
      </c>
      <c r="G270" s="297">
        <f t="shared" si="2"/>
        <v>8000</v>
      </c>
      <c r="H270" s="296">
        <f>VLOOKUP(A270,'[2]צפי 2017'!$A$180:$G$331,7,FALSE)</f>
        <v>9000</v>
      </c>
      <c r="I270" s="289" t="s">
        <v>1788</v>
      </c>
      <c r="K270" s="294"/>
    </row>
    <row r="271" spans="1:11" x14ac:dyDescent="0.2">
      <c r="A271" s="289">
        <v>1846400840</v>
      </c>
      <c r="B271" s="289" t="s">
        <v>1415</v>
      </c>
      <c r="F271" s="290">
        <v>0</v>
      </c>
      <c r="G271" s="297">
        <f t="shared" si="2"/>
        <v>0</v>
      </c>
      <c r="H271" s="296">
        <f>VLOOKUP(A271,'[2]צפי 2017'!$A$180:$G$331,7,FALSE)</f>
        <v>55000</v>
      </c>
      <c r="I271" s="289" t="s">
        <v>1949</v>
      </c>
      <c r="K271" s="294"/>
    </row>
    <row r="272" spans="1:11" x14ac:dyDescent="0.2">
      <c r="A272" s="289">
        <v>1846400841</v>
      </c>
      <c r="B272" s="289" t="s">
        <v>445</v>
      </c>
      <c r="F272" s="290">
        <v>0</v>
      </c>
      <c r="G272" s="297">
        <f t="shared" si="2"/>
        <v>0</v>
      </c>
      <c r="H272" s="296">
        <f>VLOOKUP(A272,'[2]צפי 2017'!$A$180:$G$331,7,FALSE)</f>
        <v>2606</v>
      </c>
      <c r="I272" s="289" t="s">
        <v>1949</v>
      </c>
      <c r="K272" s="294"/>
    </row>
    <row r="273" spans="1:11" x14ac:dyDescent="0.2">
      <c r="A273" s="289">
        <v>1846500840</v>
      </c>
      <c r="B273" s="289" t="s">
        <v>446</v>
      </c>
      <c r="D273" s="290">
        <f>11750*1.02</f>
        <v>11985</v>
      </c>
      <c r="E273" s="290">
        <v>28</v>
      </c>
      <c r="F273" s="290">
        <f>E273*D273*12</f>
        <v>4026960</v>
      </c>
      <c r="G273" s="297">
        <f t="shared" si="2"/>
        <v>4026960</v>
      </c>
      <c r="H273" s="296">
        <f>VLOOKUP(A273,'[2]צפי 2017'!$A$180:$G$331,7,FALSE)</f>
        <v>3481076</v>
      </c>
      <c r="I273" s="289" t="s">
        <v>1986</v>
      </c>
      <c r="K273" s="294"/>
    </row>
    <row r="274" spans="1:11" x14ac:dyDescent="0.2">
      <c r="A274" s="289">
        <v>1846600840</v>
      </c>
      <c r="B274" s="289" t="s">
        <v>1034</v>
      </c>
      <c r="D274" s="290">
        <f>1118*1.02</f>
        <v>1140.3600000000001</v>
      </c>
      <c r="E274" s="290">
        <v>7</v>
      </c>
      <c r="F274" s="290">
        <f>E274*D274*12</f>
        <v>95790.24</v>
      </c>
      <c r="G274" s="297">
        <f t="shared" si="2"/>
        <v>95790.24</v>
      </c>
      <c r="H274" s="296">
        <f>VLOOKUP(A274,'[2]צפי 2017'!$A$180:$G$331,7,FALSE)</f>
        <v>59387</v>
      </c>
      <c r="I274" s="289" t="s">
        <v>1986</v>
      </c>
      <c r="K274" s="294"/>
    </row>
    <row r="275" spans="1:11" x14ac:dyDescent="0.2">
      <c r="A275" s="289">
        <v>1846600841</v>
      </c>
      <c r="B275" s="289" t="s">
        <v>448</v>
      </c>
      <c r="D275" s="290">
        <f>1403*1.02</f>
        <v>1431.06</v>
      </c>
      <c r="E275" s="290">
        <v>13</v>
      </c>
      <c r="F275" s="290">
        <f>E275*D275*12</f>
        <v>223245.36</v>
      </c>
      <c r="G275" s="297">
        <f t="shared" si="2"/>
        <v>223245.36</v>
      </c>
      <c r="H275" s="296">
        <f>VLOOKUP(A275,'[2]צפי 2017'!$A$180:$G$331,7,FALSE)</f>
        <v>170927</v>
      </c>
      <c r="I275" s="289" t="s">
        <v>1986</v>
      </c>
      <c r="K275" s="294"/>
    </row>
    <row r="276" spans="1:11" x14ac:dyDescent="0.2">
      <c r="A276" s="289">
        <v>1846600843</v>
      </c>
      <c r="B276" s="289" t="s">
        <v>1479</v>
      </c>
      <c r="D276" s="290">
        <f>660*1.02</f>
        <v>673.2</v>
      </c>
      <c r="E276" s="290">
        <v>3</v>
      </c>
      <c r="F276" s="290">
        <f>E276*D276*12</f>
        <v>24235.200000000001</v>
      </c>
      <c r="G276" s="297">
        <f t="shared" si="2"/>
        <v>24235.200000000001</v>
      </c>
      <c r="H276" s="296">
        <f>VLOOKUP(A276,'[2]צפי 2017'!$A$180:$G$331,7,FALSE)</f>
        <v>9900</v>
      </c>
      <c r="I276" s="289" t="s">
        <v>1986</v>
      </c>
      <c r="K276" s="294"/>
    </row>
    <row r="277" spans="1:11" x14ac:dyDescent="0.2">
      <c r="A277" s="289">
        <v>1846700840</v>
      </c>
      <c r="B277" s="289" t="s">
        <v>1035</v>
      </c>
      <c r="F277" s="290">
        <v>10000</v>
      </c>
      <c r="G277" s="297">
        <f t="shared" si="2"/>
        <v>10000</v>
      </c>
      <c r="H277" s="296">
        <f>VLOOKUP(A277,'[2]צפי 2017'!$A$180:$G$331,7,FALSE)</f>
        <v>16892</v>
      </c>
      <c r="I277" s="289" t="s">
        <v>2010</v>
      </c>
      <c r="K277" s="294"/>
    </row>
    <row r="278" spans="1:11" x14ac:dyDescent="0.2">
      <c r="A278" s="289">
        <v>1846700841</v>
      </c>
      <c r="B278" s="289" t="s">
        <v>1417</v>
      </c>
      <c r="D278" s="290">
        <f>538*1.02</f>
        <v>548.76</v>
      </c>
      <c r="E278" s="290">
        <v>2</v>
      </c>
      <c r="F278" s="290">
        <f>E278*D278*12</f>
        <v>13170.24</v>
      </c>
      <c r="G278" s="297">
        <f t="shared" si="2"/>
        <v>13170.24</v>
      </c>
      <c r="H278" s="296">
        <f>VLOOKUP(A278,'[2]צפי 2017'!$A$180:$G$331,7,FALSE)</f>
        <v>13018</v>
      </c>
      <c r="K278" s="294"/>
    </row>
    <row r="279" spans="1:11" ht="15" customHeight="1" x14ac:dyDescent="0.2">
      <c r="A279" s="289">
        <v>1846700843</v>
      </c>
      <c r="B279" s="289" t="s">
        <v>303</v>
      </c>
      <c r="D279" s="290">
        <v>17310</v>
      </c>
      <c r="E279" s="290">
        <v>1</v>
      </c>
      <c r="G279" s="361">
        <f>E279*D279*12+E280*D280*12</f>
        <v>396720</v>
      </c>
      <c r="H279" s="296">
        <f>VLOOKUP(A279,'[2]צפי 2017'!$A$180:$G$331,7,FALSE)</f>
        <v>392790</v>
      </c>
      <c r="I279" s="362" t="s">
        <v>1986</v>
      </c>
      <c r="K279" s="294"/>
    </row>
    <row r="280" spans="1:11" ht="15" customHeight="1" x14ac:dyDescent="0.2">
      <c r="D280" s="290">
        <v>5250</v>
      </c>
      <c r="E280" s="290">
        <v>3</v>
      </c>
      <c r="G280" s="361"/>
      <c r="H280" s="296"/>
      <c r="I280" s="362"/>
      <c r="K280" s="294"/>
    </row>
    <row r="281" spans="1:11" x14ac:dyDescent="0.2">
      <c r="A281" s="289">
        <v>1846700844</v>
      </c>
      <c r="B281" s="289" t="s">
        <v>450</v>
      </c>
      <c r="F281" s="290">
        <f>350000</f>
        <v>350000</v>
      </c>
      <c r="G281" s="297">
        <f t="shared" si="2"/>
        <v>350000</v>
      </c>
      <c r="H281" s="296">
        <f>VLOOKUP(A281,'[2]צפי 2017'!$A$180:$G$331,7,FALSE)</f>
        <v>281193</v>
      </c>
      <c r="I281" s="304" t="s">
        <v>2009</v>
      </c>
      <c r="K281" s="294"/>
    </row>
    <row r="282" spans="1:11" x14ac:dyDescent="0.2">
      <c r="A282" s="289">
        <v>1846700845</v>
      </c>
      <c r="B282" s="289" t="s">
        <v>451</v>
      </c>
      <c r="F282" s="290">
        <v>0</v>
      </c>
      <c r="G282" s="297">
        <f t="shared" si="2"/>
        <v>0</v>
      </c>
      <c r="H282" s="296">
        <f>VLOOKUP(A282,'[2]צפי 2017'!$A$180:$G$331,7,FALSE)</f>
        <v>0</v>
      </c>
      <c r="I282" s="304" t="s">
        <v>1949</v>
      </c>
      <c r="K282" s="294"/>
    </row>
    <row r="283" spans="1:11" x14ac:dyDescent="0.2">
      <c r="A283" s="289">
        <v>1846700846</v>
      </c>
      <c r="B283" s="289" t="s">
        <v>452</v>
      </c>
      <c r="F283" s="290">
        <v>6000</v>
      </c>
      <c r="G283" s="297">
        <f t="shared" si="2"/>
        <v>6000</v>
      </c>
      <c r="H283" s="296">
        <f>VLOOKUP(A283,'[2]צפי 2017'!$A$180:$G$331,7,FALSE)</f>
        <v>6374</v>
      </c>
      <c r="I283" s="289" t="s">
        <v>1986</v>
      </c>
      <c r="K283" s="294"/>
    </row>
    <row r="284" spans="1:11" s="305" customFormat="1" x14ac:dyDescent="0.2">
      <c r="A284" s="305">
        <v>1846700848</v>
      </c>
      <c r="B284" s="305" t="s">
        <v>454</v>
      </c>
      <c r="C284" s="306"/>
      <c r="D284" s="306">
        <f>801*1.02</f>
        <v>817.02</v>
      </c>
      <c r="E284" s="306">
        <v>11</v>
      </c>
      <c r="F284" s="306">
        <f>E284*D284*12</f>
        <v>107846.63999999998</v>
      </c>
      <c r="G284" s="307">
        <f t="shared" si="2"/>
        <v>107846.63999999998</v>
      </c>
      <c r="H284" s="296">
        <f>VLOOKUP(A284,'[2]צפי 2017'!$A$180:$G$331,7,FALSE)</f>
        <v>130283</v>
      </c>
      <c r="I284" s="305" t="s">
        <v>1986</v>
      </c>
      <c r="J284" s="306"/>
      <c r="K284" s="308"/>
    </row>
    <row r="285" spans="1:11" x14ac:dyDescent="0.2">
      <c r="A285" s="289">
        <v>1846700849</v>
      </c>
      <c r="B285" s="289" t="s">
        <v>88</v>
      </c>
      <c r="F285" s="290">
        <v>25000</v>
      </c>
      <c r="G285" s="297">
        <f t="shared" si="2"/>
        <v>25000</v>
      </c>
      <c r="H285" s="296">
        <f>VLOOKUP(A285,'[2]צפי 2017'!$A$180:$G$331,7,FALSE)</f>
        <v>0</v>
      </c>
      <c r="I285" s="289" t="s">
        <v>2011</v>
      </c>
      <c r="K285" s="294"/>
    </row>
    <row r="286" spans="1:11" x14ac:dyDescent="0.2">
      <c r="A286" s="289">
        <v>1846700850</v>
      </c>
      <c r="B286" s="289" t="s">
        <v>1595</v>
      </c>
      <c r="F286" s="290">
        <v>0</v>
      </c>
      <c r="G286" s="297">
        <f>F286+C286</f>
        <v>0</v>
      </c>
      <c r="H286" s="296">
        <f>VLOOKUP(A286,'[2]צפי 2017'!$A$180:$G$331,7,FALSE)</f>
        <v>0</v>
      </c>
      <c r="I286" s="289" t="s">
        <v>2012</v>
      </c>
      <c r="K286" s="294"/>
    </row>
    <row r="287" spans="1:11" x14ac:dyDescent="0.2">
      <c r="A287" s="289">
        <v>1846800842</v>
      </c>
      <c r="B287" s="289" t="s">
        <v>455</v>
      </c>
      <c r="F287" s="290">
        <v>18000</v>
      </c>
      <c r="G287" s="297">
        <f t="shared" si="2"/>
        <v>18000</v>
      </c>
      <c r="H287" s="296">
        <f>VLOOKUP(A287,'[2]צפי 2017'!$A$180:$G$331,7,FALSE)</f>
        <v>31826</v>
      </c>
      <c r="I287" s="289" t="s">
        <v>2013</v>
      </c>
      <c r="K287" s="294"/>
    </row>
    <row r="288" spans="1:11" x14ac:dyDescent="0.2">
      <c r="A288" s="289">
        <v>1846800843</v>
      </c>
      <c r="B288" s="289" t="s">
        <v>456</v>
      </c>
      <c r="D288" s="290">
        <f>1881*1.02</f>
        <v>1918.6200000000001</v>
      </c>
      <c r="E288" s="290">
        <v>2</v>
      </c>
      <c r="F288" s="290">
        <f>E288*D288*12</f>
        <v>46046.880000000005</v>
      </c>
      <c r="G288" s="297">
        <f t="shared" si="2"/>
        <v>46046.880000000005</v>
      </c>
      <c r="H288" s="296">
        <f>VLOOKUP(A288,'[2]צפי 2017'!$A$180:$G$331,7,FALSE)</f>
        <v>60398</v>
      </c>
      <c r="I288" s="309" t="s">
        <v>2014</v>
      </c>
      <c r="K288" s="294"/>
    </row>
    <row r="289" spans="1:11" x14ac:dyDescent="0.2">
      <c r="A289" s="289">
        <v>1846800844</v>
      </c>
      <c r="B289" s="289" t="s">
        <v>457</v>
      </c>
      <c r="F289" s="290">
        <f>200*12+12300*2</f>
        <v>27000</v>
      </c>
      <c r="G289" s="297">
        <f t="shared" si="2"/>
        <v>27000</v>
      </c>
      <c r="H289" s="296">
        <f>VLOOKUP(A289,'[2]צפי 2017'!$A$180:$G$331,7,FALSE)</f>
        <v>7171.6900000000005</v>
      </c>
      <c r="I289" s="289" t="s">
        <v>2015</v>
      </c>
      <c r="K289" s="294"/>
    </row>
    <row r="290" spans="1:11" x14ac:dyDescent="0.2">
      <c r="A290" s="289">
        <v>1846800846</v>
      </c>
      <c r="B290" s="289" t="s">
        <v>459</v>
      </c>
      <c r="D290" s="290">
        <f>311*1.02</f>
        <v>317.22000000000003</v>
      </c>
      <c r="E290" s="290">
        <v>90</v>
      </c>
      <c r="F290" s="290">
        <f>E290*D290*12</f>
        <v>342597.60000000003</v>
      </c>
      <c r="G290" s="297">
        <f t="shared" si="2"/>
        <v>342597.60000000003</v>
      </c>
      <c r="H290" s="296">
        <f>VLOOKUP(A290,'[2]צפי 2017'!$A$180:$G$331,7,FALSE)</f>
        <v>511198</v>
      </c>
      <c r="I290" s="289" t="s">
        <v>1986</v>
      </c>
      <c r="K290" s="294"/>
    </row>
    <row r="291" spans="1:11" x14ac:dyDescent="0.2">
      <c r="A291" s="289">
        <v>1846800848</v>
      </c>
      <c r="B291" s="289" t="s">
        <v>1627</v>
      </c>
      <c r="D291" s="290">
        <f>5492*1.02</f>
        <v>5601.84</v>
      </c>
      <c r="E291" s="290">
        <v>1</v>
      </c>
      <c r="F291" s="290">
        <f>E291*D291*12</f>
        <v>67222.080000000002</v>
      </c>
      <c r="G291" s="297">
        <f t="shared" si="2"/>
        <v>67222.080000000002</v>
      </c>
      <c r="H291" s="296">
        <f>VLOOKUP(A291,'[2]צפי 2017'!$A$180:$G$331,7,FALSE)</f>
        <v>65697</v>
      </c>
      <c r="I291" s="289" t="s">
        <v>1986</v>
      </c>
      <c r="K291" s="294"/>
    </row>
    <row r="292" spans="1:11" x14ac:dyDescent="0.2">
      <c r="A292" s="289">
        <v>1846800850</v>
      </c>
      <c r="B292" s="289" t="s">
        <v>67</v>
      </c>
      <c r="F292" s="290">
        <f>50000+1*4346*1.02*12+3*390*1.02*12</f>
        <v>117515.84000000001</v>
      </c>
      <c r="G292" s="297">
        <f t="shared" si="2"/>
        <v>117515.84000000001</v>
      </c>
      <c r="H292" s="296">
        <f>VLOOKUP(A292,'[2]צפי 2017'!$A$180:$G$331,7,FALSE)</f>
        <v>69786.880000000005</v>
      </c>
      <c r="I292" s="289" t="s">
        <v>2016</v>
      </c>
      <c r="K292" s="294"/>
    </row>
    <row r="293" spans="1:11" x14ac:dyDescent="0.2">
      <c r="A293" s="289">
        <v>1846800851</v>
      </c>
      <c r="B293" s="289" t="s">
        <v>68</v>
      </c>
      <c r="F293" s="290">
        <v>0</v>
      </c>
      <c r="G293" s="297">
        <f t="shared" si="2"/>
        <v>0</v>
      </c>
      <c r="H293" s="296">
        <f>VLOOKUP(A293,'[2]צפי 2017'!$A$180:$G$331,7,FALSE)</f>
        <v>0</v>
      </c>
      <c r="I293" s="289" t="s">
        <v>1949</v>
      </c>
      <c r="K293" s="294"/>
    </row>
    <row r="294" spans="1:11" x14ac:dyDescent="0.2">
      <c r="A294" s="289">
        <v>1846900780</v>
      </c>
      <c r="B294" s="289" t="s">
        <v>1548</v>
      </c>
      <c r="F294" s="290">
        <f>60000+120000</f>
        <v>180000</v>
      </c>
      <c r="G294" s="297">
        <f t="shared" si="2"/>
        <v>180000</v>
      </c>
      <c r="H294" s="296">
        <f>VLOOKUP(A294,'[2]צפי 2017'!$A$180:$G$331,7,FALSE)</f>
        <v>180000</v>
      </c>
      <c r="I294" s="289" t="s">
        <v>2017</v>
      </c>
      <c r="K294" s="294"/>
    </row>
    <row r="295" spans="1:11" x14ac:dyDescent="0.2">
      <c r="A295" s="289">
        <v>1847100841</v>
      </c>
      <c r="B295" s="289" t="s">
        <v>461</v>
      </c>
      <c r="F295" s="290">
        <f>200000+50000</f>
        <v>250000</v>
      </c>
      <c r="G295" s="297">
        <f t="shared" si="2"/>
        <v>250000</v>
      </c>
      <c r="H295" s="296">
        <f>VLOOKUP(A295,'[2]צפי 2017'!$A$180:$G$331,7,FALSE)</f>
        <v>240000</v>
      </c>
      <c r="I295" s="289" t="s">
        <v>2018</v>
      </c>
      <c r="K295" s="294"/>
    </row>
    <row r="296" spans="1:11" x14ac:dyDescent="0.2">
      <c r="A296" s="289">
        <v>1847100843</v>
      </c>
      <c r="B296" s="289" t="s">
        <v>462</v>
      </c>
      <c r="F296" s="290">
        <f>(30+75+100+200)*12+155000</f>
        <v>159860</v>
      </c>
      <c r="G296" s="297">
        <f t="shared" si="2"/>
        <v>159860</v>
      </c>
      <c r="H296" s="296">
        <f>VLOOKUP(A296,'[2]צפי 2017'!$A$180:$G$331,7,FALSE)</f>
        <v>166000</v>
      </c>
      <c r="I296" s="289" t="s">
        <v>2019</v>
      </c>
      <c r="K296" s="294"/>
    </row>
    <row r="297" spans="1:11" x14ac:dyDescent="0.2">
      <c r="A297" s="289">
        <v>1847100845</v>
      </c>
      <c r="B297" s="289" t="s">
        <v>1421</v>
      </c>
      <c r="F297" s="290">
        <f>150*12</f>
        <v>1800</v>
      </c>
      <c r="G297" s="297">
        <f t="shared" si="2"/>
        <v>1800</v>
      </c>
      <c r="H297" s="296">
        <f>VLOOKUP(A297,'[2]צפי 2017'!$A$180:$G$331,7,FALSE)</f>
        <v>8097.86</v>
      </c>
      <c r="I297" s="289" t="s">
        <v>2020</v>
      </c>
      <c r="K297" s="294"/>
    </row>
    <row r="298" spans="1:11" x14ac:dyDescent="0.2">
      <c r="A298" s="289">
        <v>1847100846</v>
      </c>
      <c r="B298" s="289" t="s">
        <v>50</v>
      </c>
      <c r="F298" s="290">
        <v>40000</v>
      </c>
      <c r="G298" s="297">
        <f>F298+C298</f>
        <v>40000</v>
      </c>
      <c r="H298" s="296">
        <f>VLOOKUP(A298,'[2]צפי 2017'!$A$180:$G$331,7,FALSE)</f>
        <v>42110</v>
      </c>
      <c r="I298" s="289" t="s">
        <v>1986</v>
      </c>
      <c r="K298" s="294"/>
    </row>
    <row r="299" spans="1:11" x14ac:dyDescent="0.2">
      <c r="A299" s="289">
        <v>1847100849</v>
      </c>
      <c r="B299" s="289" t="s">
        <v>1957</v>
      </c>
      <c r="D299" s="290">
        <f>1400*1.02</f>
        <v>1428</v>
      </c>
      <c r="E299" s="290">
        <v>2</v>
      </c>
      <c r="F299" s="290">
        <f>E299*D299*12</f>
        <v>34272</v>
      </c>
      <c r="G299" s="297">
        <f>F299+C299</f>
        <v>34272</v>
      </c>
      <c r="H299" s="296"/>
      <c r="K299" s="294"/>
    </row>
    <row r="300" spans="1:11" x14ac:dyDescent="0.2">
      <c r="A300" s="289">
        <v>1847100850</v>
      </c>
      <c r="B300" s="289" t="s">
        <v>1145</v>
      </c>
      <c r="G300" s="297">
        <f t="shared" si="2"/>
        <v>0</v>
      </c>
      <c r="H300" s="296">
        <f>VLOOKUP(A300,'[2]צפי 2017'!$A$180:$G$331,7,FALSE)</f>
        <v>0</v>
      </c>
      <c r="I300" s="289" t="s">
        <v>1949</v>
      </c>
      <c r="K300" s="294"/>
    </row>
    <row r="301" spans="1:11" x14ac:dyDescent="0.2">
      <c r="A301" s="289">
        <v>1847100852</v>
      </c>
      <c r="B301" s="289" t="s">
        <v>69</v>
      </c>
      <c r="G301" s="297">
        <f t="shared" si="2"/>
        <v>0</v>
      </c>
      <c r="H301" s="296">
        <f>VLOOKUP(A301,'[2]צפי 2017'!$A$180:$G$331,7,FALSE)</f>
        <v>20000</v>
      </c>
      <c r="I301" s="289" t="s">
        <v>2021</v>
      </c>
      <c r="K301" s="294"/>
    </row>
    <row r="302" spans="1:11" x14ac:dyDescent="0.2">
      <c r="A302" s="289">
        <v>1847100853</v>
      </c>
      <c r="B302" s="289" t="s">
        <v>1958</v>
      </c>
      <c r="G302" s="297">
        <f t="shared" si="2"/>
        <v>0</v>
      </c>
      <c r="H302" s="296"/>
      <c r="K302" s="294"/>
    </row>
    <row r="303" spans="1:11" x14ac:dyDescent="0.2">
      <c r="A303" s="289">
        <v>1847100854</v>
      </c>
      <c r="B303" s="289" t="s">
        <v>1959</v>
      </c>
      <c r="D303" s="290">
        <v>13600</v>
      </c>
      <c r="E303" s="290">
        <v>1</v>
      </c>
      <c r="F303" s="290">
        <f>E303*D303*6</f>
        <v>81600</v>
      </c>
      <c r="G303" s="297">
        <f t="shared" si="2"/>
        <v>81600</v>
      </c>
      <c r="H303" s="296"/>
      <c r="I303" s="289" t="s">
        <v>2022</v>
      </c>
      <c r="K303" s="294"/>
    </row>
    <row r="304" spans="1:11" x14ac:dyDescent="0.2">
      <c r="A304" s="289">
        <v>1847110842</v>
      </c>
      <c r="B304" s="289" t="s">
        <v>464</v>
      </c>
      <c r="F304" s="290">
        <v>80000</v>
      </c>
      <c r="G304" s="297">
        <f>F304+C304</f>
        <v>80000</v>
      </c>
      <c r="H304" s="296">
        <f>VLOOKUP(A304,'[2]צפי 2017'!$A$180:$G$331,7,FALSE)</f>
        <v>80000</v>
      </c>
      <c r="I304" s="289" t="s">
        <v>2023</v>
      </c>
      <c r="K304" s="294"/>
    </row>
    <row r="305" spans="1:21" x14ac:dyDescent="0.2">
      <c r="A305" s="289">
        <v>1847300840</v>
      </c>
      <c r="B305" s="289" t="s">
        <v>466</v>
      </c>
      <c r="F305" s="290">
        <v>6000</v>
      </c>
      <c r="G305" s="297">
        <f>F305+C305</f>
        <v>6000</v>
      </c>
      <c r="H305" s="296">
        <f>VLOOKUP(A305,'[2]צפי 2017'!$A$180:$G$331,7,FALSE)</f>
        <v>4814</v>
      </c>
      <c r="I305" s="289" t="s">
        <v>2023</v>
      </c>
      <c r="K305" s="294"/>
    </row>
    <row r="306" spans="1:21" ht="26.25" customHeight="1" x14ac:dyDescent="0.2">
      <c r="A306" s="289">
        <v>1847300846</v>
      </c>
      <c r="B306" s="289" t="s">
        <v>1425</v>
      </c>
      <c r="D306" s="290">
        <f>865*1.02</f>
        <v>882.30000000000007</v>
      </c>
      <c r="E306" s="290">
        <v>19</v>
      </c>
      <c r="F306" s="290">
        <f>E306*D306*12</f>
        <v>201164.40000000002</v>
      </c>
      <c r="G306" s="297">
        <f>F306+C306</f>
        <v>201164.40000000002</v>
      </c>
      <c r="H306" s="296">
        <f>VLOOKUP(A306,'[2]צפי 2017'!$A$180:$G$331,7,FALSE)</f>
        <v>258642</v>
      </c>
      <c r="I306" s="302" t="s">
        <v>1986</v>
      </c>
      <c r="K306" s="294"/>
      <c r="L306" s="302"/>
      <c r="M306" s="302"/>
      <c r="N306" s="302"/>
      <c r="O306" s="302"/>
      <c r="P306" s="302"/>
      <c r="Q306" s="302"/>
      <c r="R306" s="302"/>
      <c r="S306" s="302"/>
      <c r="T306" s="302"/>
      <c r="U306" s="302"/>
    </row>
    <row r="307" spans="1:21" x14ac:dyDescent="0.2">
      <c r="A307" s="289">
        <v>1847300847</v>
      </c>
      <c r="B307" s="289" t="s">
        <v>89</v>
      </c>
      <c r="F307" s="290">
        <v>6000</v>
      </c>
      <c r="G307" s="297">
        <f t="shared" si="2"/>
        <v>6000</v>
      </c>
      <c r="H307" s="296">
        <f>VLOOKUP(A307,'[2]צפי 2017'!$A$180:$G$331,7,FALSE)</f>
        <v>0</v>
      </c>
      <c r="K307" s="294"/>
    </row>
    <row r="308" spans="1:21" ht="29.25" customHeight="1" x14ac:dyDescent="0.2">
      <c r="A308" s="289">
        <v>1847300848</v>
      </c>
      <c r="B308" s="289" t="s">
        <v>1478</v>
      </c>
      <c r="G308" s="297">
        <f>F308+C308</f>
        <v>0</v>
      </c>
      <c r="H308" s="296">
        <f>VLOOKUP(A308,'[2]צפי 2017'!$A$180:$G$331,7,FALSE)</f>
        <v>0</v>
      </c>
      <c r="I308" s="302" t="s">
        <v>1949</v>
      </c>
      <c r="K308" s="294"/>
      <c r="L308" s="302"/>
      <c r="M308" s="302"/>
      <c r="N308" s="302"/>
    </row>
    <row r="309" spans="1:21" x14ac:dyDescent="0.2">
      <c r="A309" s="289">
        <v>1847400422</v>
      </c>
      <c r="B309" s="289" t="s">
        <v>1039</v>
      </c>
      <c r="F309" s="290">
        <v>55000</v>
      </c>
      <c r="G309" s="297">
        <f>F309+C309</f>
        <v>55000</v>
      </c>
      <c r="H309" s="296">
        <f>VLOOKUP(A309,'[2]צפי 2017'!$A$180:$G$331,7,FALSE)</f>
        <v>43090.06</v>
      </c>
      <c r="I309" s="289" t="s">
        <v>1788</v>
      </c>
      <c r="K309" s="294"/>
    </row>
    <row r="310" spans="1:21" ht="32" x14ac:dyDescent="0.2">
      <c r="A310" s="289">
        <v>1847400540</v>
      </c>
      <c r="B310" s="289" t="s">
        <v>875</v>
      </c>
      <c r="F310" s="290">
        <f>(400+200)*12</f>
        <v>7200</v>
      </c>
      <c r="G310" s="297">
        <f t="shared" si="2"/>
        <v>7200</v>
      </c>
      <c r="H310" s="296">
        <f>VLOOKUP(A310,'[2]צפי 2017'!$A$180:$G$331,7,FALSE)</f>
        <v>7396.03</v>
      </c>
      <c r="I310" s="302" t="s">
        <v>2024</v>
      </c>
      <c r="K310" s="294"/>
    </row>
    <row r="311" spans="1:21" x14ac:dyDescent="0.2">
      <c r="A311" s="289">
        <v>1847400560</v>
      </c>
      <c r="B311" s="289" t="s">
        <v>1040</v>
      </c>
      <c r="F311" s="290">
        <v>4000</v>
      </c>
      <c r="G311" s="297">
        <f t="shared" si="2"/>
        <v>4000</v>
      </c>
      <c r="H311" s="296">
        <f>VLOOKUP(A311,'[2]צפי 2017'!$A$180:$G$331,7,FALSE)</f>
        <v>3500</v>
      </c>
      <c r="K311" s="294"/>
    </row>
    <row r="312" spans="1:21" x14ac:dyDescent="0.2">
      <c r="A312" s="289">
        <v>1847400720</v>
      </c>
      <c r="B312" s="289" t="s">
        <v>689</v>
      </c>
      <c r="F312" s="290">
        <v>10000</v>
      </c>
      <c r="G312" s="297">
        <f t="shared" si="2"/>
        <v>10000</v>
      </c>
      <c r="H312" s="296">
        <f>VLOOKUP(A312,'[2]צפי 2017'!$A$180:$G$331,7,FALSE)</f>
        <v>7035</v>
      </c>
      <c r="K312" s="294"/>
    </row>
    <row r="313" spans="1:21" x14ac:dyDescent="0.2">
      <c r="A313" s="289">
        <v>1847400840</v>
      </c>
      <c r="B313" s="289" t="s">
        <v>200</v>
      </c>
      <c r="F313" s="290">
        <v>0</v>
      </c>
      <c r="G313" s="297">
        <f t="shared" si="2"/>
        <v>0</v>
      </c>
      <c r="H313" s="296">
        <f>VLOOKUP(A313,'[2]צפי 2017'!$A$180:$G$331,7,FALSE)</f>
        <v>0</v>
      </c>
      <c r="K313" s="294"/>
    </row>
    <row r="314" spans="1:21" x14ac:dyDescent="0.2">
      <c r="A314" s="289">
        <v>1847400841</v>
      </c>
      <c r="B314" s="289" t="s">
        <v>1041</v>
      </c>
      <c r="F314" s="290">
        <f>(300+26)*12+13000*10+6500*2+350*12+250*12+20000</f>
        <v>174112</v>
      </c>
      <c r="G314" s="297">
        <f t="shared" si="2"/>
        <v>174112</v>
      </c>
      <c r="H314" s="296">
        <f>VLOOKUP(A314,'[2]צפי 2017'!$A$180:$G$331,7,FALSE)</f>
        <v>171463.28999999998</v>
      </c>
      <c r="I314" s="289" t="s">
        <v>2025</v>
      </c>
      <c r="K314" s="294"/>
    </row>
    <row r="315" spans="1:21" x14ac:dyDescent="0.2">
      <c r="A315" s="289">
        <v>1847400843</v>
      </c>
      <c r="B315" s="289" t="s">
        <v>1042</v>
      </c>
      <c r="F315" s="290">
        <v>40000</v>
      </c>
      <c r="G315" s="297">
        <f t="shared" si="2"/>
        <v>40000</v>
      </c>
      <c r="H315" s="296">
        <f>VLOOKUP(A315,'[2]צפי 2017'!$A$180:$G$331,7,FALSE)</f>
        <v>3290</v>
      </c>
      <c r="I315" s="289" t="s">
        <v>2026</v>
      </c>
      <c r="K315" s="294"/>
    </row>
    <row r="316" spans="1:21" x14ac:dyDescent="0.2">
      <c r="A316" s="289">
        <v>1847400844</v>
      </c>
      <c r="B316" s="289" t="s">
        <v>1043</v>
      </c>
      <c r="F316" s="290">
        <v>0</v>
      </c>
      <c r="G316" s="297">
        <f t="shared" si="2"/>
        <v>0</v>
      </c>
      <c r="H316" s="296">
        <f>VLOOKUP(A316,'[2]צפי 2017'!$A$180:$G$331,7,FALSE)</f>
        <v>0</v>
      </c>
      <c r="K316" s="294"/>
    </row>
    <row r="317" spans="1:21" x14ac:dyDescent="0.2">
      <c r="A317" s="289">
        <v>1847400845</v>
      </c>
      <c r="B317" s="289" t="s">
        <v>473</v>
      </c>
      <c r="F317" s="290">
        <v>0</v>
      </c>
      <c r="G317" s="297">
        <f t="shared" si="2"/>
        <v>0</v>
      </c>
      <c r="H317" s="296">
        <f>VLOOKUP(A317,'[2]צפי 2017'!$A$180:$G$331,7,FALSE)</f>
        <v>0</v>
      </c>
      <c r="K317" s="294"/>
    </row>
    <row r="318" spans="1:21" x14ac:dyDescent="0.2">
      <c r="A318" s="289">
        <v>1847400846</v>
      </c>
      <c r="B318" s="289" t="s">
        <v>2027</v>
      </c>
      <c r="F318" s="290">
        <v>0</v>
      </c>
      <c r="G318" s="297">
        <f t="shared" si="2"/>
        <v>0</v>
      </c>
      <c r="H318" s="296">
        <f>VLOOKUP(A318,'[2]צפי 2017'!$A$180:$G$331,7,FALSE)</f>
        <v>13538</v>
      </c>
      <c r="K318" s="294"/>
    </row>
    <row r="319" spans="1:21" x14ac:dyDescent="0.2">
      <c r="A319" s="289">
        <v>1847411750</v>
      </c>
      <c r="B319" s="289" t="s">
        <v>1044</v>
      </c>
      <c r="F319" s="290">
        <f>5000</f>
        <v>5000</v>
      </c>
      <c r="G319" s="297">
        <f t="shared" si="2"/>
        <v>5000</v>
      </c>
      <c r="H319" s="296">
        <f>VLOOKUP(A319,'[2]צפי 2017'!$A$180:$G$331,7,FALSE)</f>
        <v>1965.6</v>
      </c>
      <c r="I319" s="289" t="s">
        <v>2028</v>
      </c>
      <c r="K319" s="294"/>
    </row>
    <row r="320" spans="1:21" x14ac:dyDescent="0.2">
      <c r="A320" s="289">
        <v>1848200841</v>
      </c>
      <c r="B320" s="289" t="s">
        <v>1045</v>
      </c>
      <c r="F320" s="290">
        <v>25000</v>
      </c>
      <c r="G320" s="297">
        <f t="shared" si="2"/>
        <v>25000</v>
      </c>
      <c r="H320" s="296">
        <f>VLOOKUP(A320,'[2]צפי 2017'!$A$180:$G$331,7,FALSE)</f>
        <v>25000</v>
      </c>
      <c r="I320" s="289" t="s">
        <v>2023</v>
      </c>
      <c r="K320" s="294"/>
    </row>
    <row r="321" spans="1:21" x14ac:dyDescent="0.2">
      <c r="A321" s="289">
        <v>1848200847</v>
      </c>
      <c r="B321" s="289" t="s">
        <v>1365</v>
      </c>
      <c r="F321" s="290">
        <v>11000</v>
      </c>
      <c r="G321" s="297">
        <f t="shared" si="2"/>
        <v>11000</v>
      </c>
      <c r="H321" s="296">
        <f>VLOOKUP(A321,'[2]צפי 2017'!$A$180:$G$331,7,FALSE)</f>
        <v>11000</v>
      </c>
      <c r="I321" s="289" t="s">
        <v>2023</v>
      </c>
      <c r="K321" s="294"/>
    </row>
    <row r="322" spans="1:21" x14ac:dyDescent="0.2">
      <c r="A322" s="289">
        <v>1848300580</v>
      </c>
      <c r="B322" s="289" t="s">
        <v>1046</v>
      </c>
      <c r="F322" s="290">
        <v>13000</v>
      </c>
      <c r="G322" s="297">
        <f t="shared" si="2"/>
        <v>13000</v>
      </c>
      <c r="H322" s="296">
        <f>VLOOKUP(A322,'[2]צפי 2017'!$A$180:$G$331,7,FALSE)</f>
        <v>5138.57</v>
      </c>
      <c r="I322" s="289" t="s">
        <v>2029</v>
      </c>
      <c r="K322" s="294"/>
    </row>
    <row r="323" spans="1:21" x14ac:dyDescent="0.2">
      <c r="A323" s="289">
        <v>1848300840</v>
      </c>
      <c r="B323" s="289" t="s">
        <v>1047</v>
      </c>
      <c r="F323" s="290">
        <v>20000</v>
      </c>
      <c r="G323" s="297">
        <f t="shared" si="2"/>
        <v>20000</v>
      </c>
      <c r="H323" s="296">
        <f>VLOOKUP(A323,'[2]צפי 2017'!$A$180:$G$331,7,FALSE)</f>
        <v>8000</v>
      </c>
      <c r="I323" s="289" t="s">
        <v>2023</v>
      </c>
      <c r="K323" s="294"/>
    </row>
    <row r="324" spans="1:21" x14ac:dyDescent="0.2">
      <c r="A324" s="289">
        <v>1848400840</v>
      </c>
      <c r="B324" s="289" t="s">
        <v>476</v>
      </c>
      <c r="F324" s="290">
        <f>50*12+1400</f>
        <v>2000</v>
      </c>
      <c r="G324" s="297">
        <f t="shared" si="2"/>
        <v>2000</v>
      </c>
      <c r="H324" s="296">
        <f>VLOOKUP(A324,'[2]צפי 2017'!$A$180:$G$331,7,FALSE)</f>
        <v>2911.07</v>
      </c>
      <c r="I324" s="289" t="s">
        <v>2030</v>
      </c>
      <c r="K324" s="294"/>
    </row>
    <row r="325" spans="1:21" ht="48" customHeight="1" x14ac:dyDescent="0.2">
      <c r="A325" s="289">
        <v>1848500840</v>
      </c>
      <c r="B325" s="289" t="s">
        <v>477</v>
      </c>
      <c r="F325" s="290">
        <v>50000</v>
      </c>
      <c r="G325" s="297">
        <f t="shared" si="2"/>
        <v>50000</v>
      </c>
      <c r="H325" s="296">
        <f>VLOOKUP(A325,'[2]צפי 2017'!$A$180:$G$331,7,FALSE)</f>
        <v>36000</v>
      </c>
      <c r="I325" s="302" t="s">
        <v>2023</v>
      </c>
      <c r="K325" s="294"/>
      <c r="L325" s="302"/>
      <c r="M325" s="302"/>
      <c r="N325" s="302"/>
      <c r="O325" s="302"/>
      <c r="P325" s="302"/>
      <c r="Q325" s="302"/>
      <c r="R325" s="302"/>
      <c r="S325" s="302"/>
      <c r="T325" s="302"/>
      <c r="U325" s="302"/>
    </row>
    <row r="326" spans="1:21" x14ac:dyDescent="0.2">
      <c r="A326" s="289">
        <v>1848800780</v>
      </c>
      <c r="B326" s="289" t="s">
        <v>1048</v>
      </c>
      <c r="F326" s="290">
        <v>30000</v>
      </c>
      <c r="G326" s="297">
        <f t="shared" si="2"/>
        <v>30000</v>
      </c>
      <c r="H326" s="296">
        <f>VLOOKUP(A326,'[2]צפי 2017'!$A$180:$G$331,7,FALSE)</f>
        <v>30000</v>
      </c>
      <c r="I326" s="289" t="s">
        <v>2031</v>
      </c>
      <c r="K326" s="294"/>
    </row>
    <row r="327" spans="1:21" x14ac:dyDescent="0.2">
      <c r="A327" s="289">
        <v>1848801750</v>
      </c>
      <c r="B327" s="289" t="s">
        <v>1049</v>
      </c>
      <c r="F327" s="290">
        <v>30000</v>
      </c>
      <c r="G327" s="297">
        <f t="shared" ref="G327:G336" si="3">F327+C327</f>
        <v>30000</v>
      </c>
      <c r="H327" s="296">
        <f>VLOOKUP(A327,'[2]צפי 2017'!$A$180:$G$331,7,FALSE)</f>
        <v>30000</v>
      </c>
      <c r="I327" s="289" t="s">
        <v>2023</v>
      </c>
      <c r="K327" s="294"/>
    </row>
    <row r="328" spans="1:21" x14ac:dyDescent="0.2">
      <c r="A328" s="289">
        <v>1849000840</v>
      </c>
      <c r="B328" s="289" t="s">
        <v>1050</v>
      </c>
      <c r="D328" s="290">
        <f>1744*1.02</f>
        <v>1778.88</v>
      </c>
      <c r="E328" s="290">
        <v>1</v>
      </c>
      <c r="F328" s="290">
        <f>E328*D328*12</f>
        <v>21346.560000000001</v>
      </c>
      <c r="G328" s="297">
        <f t="shared" si="3"/>
        <v>21346.560000000001</v>
      </c>
      <c r="H328" s="296">
        <f>VLOOKUP(A328,'[2]צפי 2017'!$A$180:$G$331,7,FALSE)</f>
        <v>0</v>
      </c>
      <c r="I328" s="289" t="s">
        <v>1986</v>
      </c>
      <c r="K328" s="294"/>
    </row>
    <row r="329" spans="1:21" x14ac:dyDescent="0.2">
      <c r="A329" s="289">
        <v>1849000842</v>
      </c>
      <c r="B329" s="289" t="s">
        <v>1052</v>
      </c>
      <c r="D329" s="290">
        <f>1727*1.02</f>
        <v>1761.54</v>
      </c>
      <c r="E329" s="290">
        <v>1</v>
      </c>
      <c r="F329" s="290">
        <f>E329*D329*12</f>
        <v>21138.48</v>
      </c>
      <c r="G329" s="297">
        <f t="shared" si="3"/>
        <v>21138.48</v>
      </c>
      <c r="H329" s="296">
        <f>VLOOKUP(A329,'[2]צפי 2017'!$A$180:$G$331,7,FALSE)</f>
        <v>37653</v>
      </c>
      <c r="I329" s="289" t="s">
        <v>1986</v>
      </c>
      <c r="K329" s="294"/>
    </row>
    <row r="330" spans="1:21" x14ac:dyDescent="0.2">
      <c r="A330" s="289">
        <v>1849000844</v>
      </c>
      <c r="B330" s="289" t="s">
        <v>1054</v>
      </c>
      <c r="D330" s="290">
        <f>9785*1.02</f>
        <v>9980.7000000000007</v>
      </c>
      <c r="E330" s="290">
        <v>1</v>
      </c>
      <c r="F330" s="290">
        <f>E330*D330*12</f>
        <v>119768.40000000001</v>
      </c>
      <c r="G330" s="297">
        <f t="shared" si="3"/>
        <v>119768.40000000001</v>
      </c>
      <c r="H330" s="296">
        <f>VLOOKUP(A330,'[2]צפי 2017'!$A$180:$G$331,7,FALSE)</f>
        <v>113007</v>
      </c>
      <c r="I330" s="289" t="s">
        <v>1986</v>
      </c>
      <c r="K330" s="294"/>
    </row>
    <row r="331" spans="1:21" x14ac:dyDescent="0.2">
      <c r="A331" s="289">
        <v>1849000845</v>
      </c>
      <c r="B331" s="289" t="s">
        <v>1055</v>
      </c>
      <c r="F331" s="290">
        <v>75000</v>
      </c>
      <c r="G331" s="297">
        <f t="shared" si="3"/>
        <v>75000</v>
      </c>
      <c r="H331" s="296">
        <f>VLOOKUP(A331,'[2]צפי 2017'!$A$180:$G$331,7,FALSE)</f>
        <v>50626</v>
      </c>
      <c r="I331" s="289" t="s">
        <v>1986</v>
      </c>
      <c r="K331" s="294"/>
    </row>
    <row r="332" spans="1:21" x14ac:dyDescent="0.2">
      <c r="A332" s="289">
        <v>1849000846</v>
      </c>
      <c r="B332" s="289" t="s">
        <v>1146</v>
      </c>
      <c r="F332" s="290">
        <v>0</v>
      </c>
      <c r="G332" s="297">
        <f t="shared" si="3"/>
        <v>0</v>
      </c>
      <c r="H332" s="296">
        <f>VLOOKUP(A332,'[2]צפי 2017'!$A$180:$G$331,7,FALSE)</f>
        <v>0</v>
      </c>
      <c r="I332" s="289" t="s">
        <v>1949</v>
      </c>
      <c r="K332" s="294"/>
    </row>
    <row r="333" spans="1:21" x14ac:dyDescent="0.2">
      <c r="A333" s="289">
        <v>1849000851</v>
      </c>
      <c r="B333" s="289" t="s">
        <v>70</v>
      </c>
      <c r="D333" s="290">
        <f>14775*1.02</f>
        <v>15070.5</v>
      </c>
      <c r="E333" s="290">
        <v>1</v>
      </c>
      <c r="F333" s="290">
        <f>E333*D333*12</f>
        <v>180846</v>
      </c>
      <c r="G333" s="297">
        <f t="shared" si="3"/>
        <v>180846</v>
      </c>
      <c r="H333" s="296">
        <f>VLOOKUP(A333,'[2]צפי 2017'!$A$180:$G$331,7,FALSE)</f>
        <v>177223</v>
      </c>
      <c r="I333" s="289" t="s">
        <v>1986</v>
      </c>
      <c r="K333" s="294"/>
    </row>
    <row r="334" spans="1:21" x14ac:dyDescent="0.2">
      <c r="A334" s="289">
        <v>1849001841</v>
      </c>
      <c r="B334" s="289" t="s">
        <v>1366</v>
      </c>
      <c r="F334" s="290">
        <v>200000</v>
      </c>
      <c r="G334" s="297">
        <f t="shared" si="3"/>
        <v>200000</v>
      </c>
      <c r="H334" s="296">
        <f>VLOOKUP(A334,'[2]צפי 2017'!$A$180:$G$331,7,FALSE)</f>
        <v>200000</v>
      </c>
      <c r="I334" s="289" t="s">
        <v>2032</v>
      </c>
      <c r="K334" s="294"/>
    </row>
    <row r="335" spans="1:21" x14ac:dyDescent="0.2">
      <c r="A335" s="289">
        <v>1849001844</v>
      </c>
      <c r="B335" s="289" t="s">
        <v>485</v>
      </c>
      <c r="F335" s="290">
        <v>15000</v>
      </c>
      <c r="G335" s="297">
        <f t="shared" si="3"/>
        <v>15000</v>
      </c>
      <c r="H335" s="296">
        <f>VLOOKUP(A335,'[2]צפי 2017'!$A$180:$G$331,7,FALSE)</f>
        <v>0</v>
      </c>
      <c r="K335" s="294"/>
    </row>
    <row r="336" spans="1:21" x14ac:dyDescent="0.2">
      <c r="A336" s="289">
        <v>1849001847</v>
      </c>
      <c r="B336" s="289" t="s">
        <v>486</v>
      </c>
      <c r="F336" s="290">
        <v>20000</v>
      </c>
      <c r="G336" s="297">
        <f t="shared" si="3"/>
        <v>20000</v>
      </c>
      <c r="H336" s="296">
        <f>VLOOKUP(A336,'[2]צפי 2017'!$A$180:$G$331,7,FALSE)</f>
        <v>15000</v>
      </c>
      <c r="I336" s="289" t="s">
        <v>2013</v>
      </c>
      <c r="K336" s="294"/>
    </row>
    <row r="337" spans="1:11" x14ac:dyDescent="0.2">
      <c r="A337" s="289">
        <v>1849001849</v>
      </c>
      <c r="B337" s="289" t="s">
        <v>487</v>
      </c>
      <c r="F337" s="290">
        <v>21000</v>
      </c>
      <c r="G337" s="297">
        <f>F337+C337</f>
        <v>21000</v>
      </c>
      <c r="H337" s="296">
        <f>VLOOKUP(A337,'[2]צפי 2017'!$A$180:$G$331,7,FALSE)</f>
        <v>20000</v>
      </c>
      <c r="I337" s="289" t="s">
        <v>2013</v>
      </c>
      <c r="K337" s="294"/>
    </row>
    <row r="338" spans="1:11" x14ac:dyDescent="0.2">
      <c r="A338" s="289">
        <v>1849002849</v>
      </c>
      <c r="B338" s="289" t="s">
        <v>1056</v>
      </c>
      <c r="G338" s="297">
        <f>F338+C338</f>
        <v>0</v>
      </c>
      <c r="H338" s="296">
        <f>VLOOKUP(A338,'[2]צפי 2017'!$A$180:$G$331,7,FALSE)</f>
        <v>7975</v>
      </c>
      <c r="K338" s="294"/>
    </row>
    <row r="339" spans="1:11" x14ac:dyDescent="0.2">
      <c r="A339" s="289">
        <v>1849300840</v>
      </c>
      <c r="B339" s="289" t="s">
        <v>1439</v>
      </c>
      <c r="F339" s="290">
        <v>20000</v>
      </c>
      <c r="G339" s="297">
        <f>F339+C339</f>
        <v>20000</v>
      </c>
      <c r="H339" s="296"/>
      <c r="I339" s="289" t="s">
        <v>2023</v>
      </c>
      <c r="K339" s="294"/>
    </row>
    <row r="340" spans="1:11" s="295" customFormat="1" ht="16" thickBot="1" x14ac:dyDescent="0.25">
      <c r="A340" s="295" t="s">
        <v>277</v>
      </c>
      <c r="B340" s="295" t="s">
        <v>1022</v>
      </c>
      <c r="C340" s="290">
        <f>SUM(C184:C339)</f>
        <v>0</v>
      </c>
      <c r="D340" s="296">
        <f>SUM(D184:D339)</f>
        <v>197151.8</v>
      </c>
      <c r="E340" s="296">
        <f>SUM(E184:E338)</f>
        <v>756</v>
      </c>
      <c r="F340" s="296">
        <f>SUM(F184:F339)</f>
        <v>49688001.360000014</v>
      </c>
      <c r="G340" s="310">
        <f>SUM(G184:G339)</f>
        <v>50084721.360000014</v>
      </c>
      <c r="H340" s="296">
        <f>SUM(H184:H339)</f>
        <v>45759787.160000004</v>
      </c>
      <c r="J340" s="296"/>
    </row>
    <row r="341" spans="1:11" ht="16" thickTop="1" x14ac:dyDescent="0.2"/>
    <row r="346" spans="1:11" ht="16" thickBot="1" x14ac:dyDescent="0.25">
      <c r="C346" s="311">
        <f>C21+C157-C181-C340</f>
        <v>0</v>
      </c>
    </row>
    <row r="347" spans="1:11" ht="16" thickTop="1" x14ac:dyDescent="0.2"/>
    <row r="353" spans="7:8" x14ac:dyDescent="0.2">
      <c r="G353" s="297"/>
      <c r="H353" s="296"/>
    </row>
  </sheetData>
  <mergeCells count="3">
    <mergeCell ref="D1:I1"/>
    <mergeCell ref="G279:G280"/>
    <mergeCell ref="I279:I280"/>
  </mergeCells>
  <pageMargins left="0.70866141732283472" right="0.70866141732283472" top="0.74803149606299213" bottom="0.74803149606299213" header="0.31496062992125984" footer="0.31496062992125984"/>
  <pageSetup paperSize="9" scale="85"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21</vt:i4>
      </vt:variant>
      <vt:variant>
        <vt:lpstr>Named Ranges</vt:lpstr>
      </vt:variant>
      <vt:variant>
        <vt:i4>11</vt:i4>
      </vt:variant>
    </vt:vector>
  </HeadingPairs>
  <TitlesOfParts>
    <vt:vector size="32" baseType="lpstr">
      <vt:lpstr>לעדכון ראובן</vt:lpstr>
      <vt:lpstr>שינויים פעולות כלליות</vt:lpstr>
      <vt:lpstr>גיליון2</vt:lpstr>
      <vt:lpstr>גיליון3</vt:lpstr>
      <vt:lpstr>טופס 2 לתקציב</vt:lpstr>
      <vt:lpstr>עמוד 8</vt:lpstr>
      <vt:lpstr>עמוד 9</vt:lpstr>
      <vt:lpstr>עמוד 10</vt:lpstr>
      <vt:lpstr>עמוד 11</vt:lpstr>
      <vt:lpstr>עמוד 12</vt:lpstr>
      <vt:lpstr>עמוד 13</vt:lpstr>
      <vt:lpstr>שכר ומשרות לפי תקציב</vt:lpstr>
      <vt:lpstr>ריכוז תקבולים ותשלומים</vt:lpstr>
      <vt:lpstr>מפורט סעיפים</vt:lpstr>
      <vt:lpstr>השתתפות בחינוך ורווחה</vt:lpstr>
      <vt:lpstr>גליון עזר חדש</vt:lpstr>
      <vt:lpstr>גליון עזר </vt:lpstr>
      <vt:lpstr>פירוט למחלקות</vt:lpstr>
      <vt:lpstr>2017 עדכני</vt:lpstr>
      <vt:lpstr>השוואה</vt:lpstr>
      <vt:lpstr>סעיפים תקציב רווחה</vt:lpstr>
      <vt:lpstr>'טופס 2 לתקציב'!Print_Area</vt:lpstr>
      <vt:lpstr>'מפורט סעיפים'!Print_Area</vt:lpstr>
      <vt:lpstr>'סעיפים תקציב רווחה'!Print_Area</vt:lpstr>
      <vt:lpstr>'עמוד 10'!Print_Area</vt:lpstr>
      <vt:lpstr>'עמוד 11'!Print_Area</vt:lpstr>
      <vt:lpstr>'עמוד 12'!Print_Area</vt:lpstr>
      <vt:lpstr>'עמוד 13'!Print_Area</vt:lpstr>
      <vt:lpstr>'עמוד 8'!Print_Area</vt:lpstr>
      <vt:lpstr>'עמוד 9'!Print_Area</vt:lpstr>
      <vt:lpstr>'ריכוז תקבולים ותשלומים'!Print_Area</vt:lpstr>
      <vt:lpstr>'מפורט סעיפים'!Print_Titles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מנחם נויפלד - מנהל מח' חשבונות</dc:creator>
  <cp:lastModifiedBy>Microsoft Office User</cp:lastModifiedBy>
  <cp:lastPrinted>2019-01-10T09:03:24Z</cp:lastPrinted>
  <dcterms:created xsi:type="dcterms:W3CDTF">2012-10-24T16:40:49Z</dcterms:created>
  <dcterms:modified xsi:type="dcterms:W3CDTF">2022-12-04T14:25:45Z</dcterms:modified>
</cp:coreProperties>
</file>