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WSCI\תקציבים\"/>
    </mc:Choice>
  </mc:AlternateContent>
  <bookViews>
    <workbookView xWindow="0" yWindow="0" windowWidth="15360" windowHeight="7695"/>
  </bookViews>
  <sheets>
    <sheet name="תקציב מעודכן 26.4" sheetId="3" r:id="rId1"/>
  </sheets>
  <calcPr calcId="152511"/>
</workbook>
</file>

<file path=xl/calcChain.xml><?xml version="1.0" encoding="utf-8"?>
<calcChain xmlns="http://schemas.openxmlformats.org/spreadsheetml/2006/main">
  <c r="F12" i="3" l="1"/>
  <c r="E17" i="3"/>
  <c r="D22" i="3" l="1"/>
  <c r="F22" i="3" s="1"/>
  <c r="F97" i="3"/>
  <c r="F40" i="3"/>
  <c r="E40" i="3"/>
  <c r="E116" i="3" l="1"/>
  <c r="F116" i="3" s="1"/>
  <c r="D12" i="3"/>
  <c r="A15" i="3"/>
  <c r="A13" i="3"/>
  <c r="E102" i="3"/>
  <c r="F102" i="3" s="1"/>
  <c r="E110" i="3" l="1"/>
  <c r="F110" i="3" s="1"/>
  <c r="E61" i="3"/>
  <c r="F61" i="3" s="1"/>
  <c r="D16" i="3" l="1"/>
  <c r="F16" i="3" s="1"/>
  <c r="D21" i="3" l="1"/>
  <c r="F21" i="3" s="1"/>
  <c r="E146" i="3"/>
  <c r="F146" i="3" s="1"/>
  <c r="E145" i="3"/>
  <c r="F145" i="3" s="1"/>
  <c r="F147" i="3" l="1"/>
  <c r="C2" i="3"/>
  <c r="F280" i="3"/>
  <c r="F273" i="3"/>
  <c r="E272" i="3"/>
  <c r="F272" i="3" s="1"/>
  <c r="F271" i="3"/>
  <c r="F270" i="3"/>
  <c r="F266" i="3"/>
  <c r="F262" i="3"/>
  <c r="E260" i="3"/>
  <c r="E247" i="3"/>
  <c r="F247" i="3" s="1"/>
  <c r="E246" i="3"/>
  <c r="F246" i="3" s="1"/>
  <c r="E245" i="3"/>
  <c r="F245" i="3" s="1"/>
  <c r="E244" i="3"/>
  <c r="F244" i="3" s="1"/>
  <c r="E243" i="3"/>
  <c r="F243" i="3" s="1"/>
  <c r="E242" i="3"/>
  <c r="F242" i="3" s="1"/>
  <c r="E241" i="3"/>
  <c r="E240" i="3"/>
  <c r="A235" i="3"/>
  <c r="E235" i="3" s="1"/>
  <c r="F235" i="3" s="1"/>
  <c r="F236" i="3" s="1"/>
  <c r="F228" i="3"/>
  <c r="E227" i="3"/>
  <c r="F227" i="3" s="1"/>
  <c r="E226" i="3"/>
  <c r="E225" i="3"/>
  <c r="F225" i="3" s="1"/>
  <c r="E224" i="3"/>
  <c r="E223" i="3"/>
  <c r="J217" i="3"/>
  <c r="J216" i="3"/>
  <c r="J215" i="3"/>
  <c r="J214" i="3"/>
  <c r="J213" i="3"/>
  <c r="J212" i="3"/>
  <c r="J211" i="3"/>
  <c r="J210" i="3"/>
  <c r="J209" i="3"/>
  <c r="F209" i="3"/>
  <c r="F208" i="3"/>
  <c r="F207" i="3"/>
  <c r="E201" i="3"/>
  <c r="F201" i="3" s="1"/>
  <c r="F203" i="3" s="1"/>
  <c r="E196" i="3"/>
  <c r="F196" i="3" s="1"/>
  <c r="E195" i="3"/>
  <c r="A194" i="3"/>
  <c r="E194" i="3" s="1"/>
  <c r="F194" i="3" s="1"/>
  <c r="A193" i="3"/>
  <c r="E193" i="3" s="1"/>
  <c r="F193" i="3" s="1"/>
  <c r="A192" i="3"/>
  <c r="E192" i="3" s="1"/>
  <c r="F192" i="3" s="1"/>
  <c r="A191" i="3"/>
  <c r="E191" i="3" s="1"/>
  <c r="F191" i="3" s="1"/>
  <c r="F190" i="3"/>
  <c r="F188" i="3"/>
  <c r="A187" i="3"/>
  <c r="E187" i="3" s="1"/>
  <c r="F187" i="3" s="1"/>
  <c r="A186" i="3"/>
  <c r="E186" i="3" s="1"/>
  <c r="F186" i="3" s="1"/>
  <c r="F185" i="3"/>
  <c r="A180" i="3"/>
  <c r="E180" i="3" s="1"/>
  <c r="F180" i="3" s="1"/>
  <c r="A179" i="3"/>
  <c r="E179" i="3" s="1"/>
  <c r="F179" i="3" s="1"/>
  <c r="F178" i="3"/>
  <c r="E173" i="3"/>
  <c r="E172" i="3"/>
  <c r="F172" i="3" s="1"/>
  <c r="F171" i="3"/>
  <c r="F170" i="3"/>
  <c r="F169" i="3"/>
  <c r="E163" i="3"/>
  <c r="F163" i="3" s="1"/>
  <c r="E162" i="3"/>
  <c r="F162" i="3" s="1"/>
  <c r="E161" i="3"/>
  <c r="F161" i="3" s="1"/>
  <c r="E160" i="3"/>
  <c r="F160" i="3" s="1"/>
  <c r="F154" i="3"/>
  <c r="F153" i="3"/>
  <c r="F152" i="3"/>
  <c r="F150" i="3"/>
  <c r="A140" i="3"/>
  <c r="E140" i="3" s="1"/>
  <c r="F140" i="3" s="1"/>
  <c r="F141" i="3" s="1"/>
  <c r="B118" i="3"/>
  <c r="E118" i="3" s="1"/>
  <c r="F118" i="3" s="1"/>
  <c r="F130" i="3"/>
  <c r="F134" i="3" s="1"/>
  <c r="E124" i="3"/>
  <c r="F124" i="3" s="1"/>
  <c r="E123" i="3"/>
  <c r="F123" i="3" s="1"/>
  <c r="A122" i="3"/>
  <c r="E122" i="3" s="1"/>
  <c r="F122" i="3" s="1"/>
  <c r="A121" i="3"/>
  <c r="E121" i="3" s="1"/>
  <c r="F121" i="3" s="1"/>
  <c r="E120" i="3"/>
  <c r="F120" i="3" s="1"/>
  <c r="E119" i="3"/>
  <c r="F119" i="3" s="1"/>
  <c r="F107" i="3"/>
  <c r="F111" i="3" s="1"/>
  <c r="E99" i="3"/>
  <c r="F99" i="3" s="1"/>
  <c r="E92" i="3"/>
  <c r="F92" i="3" s="1"/>
  <c r="E90" i="3"/>
  <c r="F90" i="3" s="1"/>
  <c r="P89" i="3"/>
  <c r="O88" i="3"/>
  <c r="P88" i="3" s="1"/>
  <c r="F88" i="3"/>
  <c r="E78" i="3"/>
  <c r="F78" i="3" s="1"/>
  <c r="E77" i="3"/>
  <c r="F77" i="3" s="1"/>
  <c r="E67" i="3"/>
  <c r="F67" i="3" s="1"/>
  <c r="F69" i="3" s="1"/>
  <c r="F51" i="3"/>
  <c r="F50" i="3"/>
  <c r="F49" i="3"/>
  <c r="F48" i="3"/>
  <c r="E47" i="3"/>
  <c r="F47" i="3" s="1"/>
  <c r="F46" i="3"/>
  <c r="E45" i="3"/>
  <c r="F45" i="3" s="1"/>
  <c r="A39" i="3"/>
  <c r="E39" i="3" s="1"/>
  <c r="A32" i="3"/>
  <c r="E32" i="3" s="1"/>
  <c r="F32" i="3" s="1"/>
  <c r="F33" i="3" s="1"/>
  <c r="E27" i="3"/>
  <c r="F27" i="3" s="1"/>
  <c r="A26" i="3"/>
  <c r="E26" i="3" s="1"/>
  <c r="F26" i="3" s="1"/>
  <c r="D15" i="3"/>
  <c r="F15" i="3" s="1"/>
  <c r="D14" i="3"/>
  <c r="F14" i="3" s="1"/>
  <c r="D13" i="3"/>
  <c r="F13" i="3" s="1"/>
  <c r="F39" i="3" l="1"/>
  <c r="F52" i="3" s="1"/>
  <c r="E52" i="3"/>
  <c r="F248" i="3"/>
  <c r="F104" i="3"/>
  <c r="F17" i="3"/>
  <c r="F63" i="3"/>
  <c r="F165" i="3"/>
  <c r="F93" i="3"/>
  <c r="F219" i="3"/>
  <c r="P87" i="3"/>
  <c r="F125" i="3"/>
  <c r="F28" i="3"/>
  <c r="F84" i="3"/>
  <c r="F231" i="3"/>
  <c r="F197" i="3"/>
  <c r="F274" i="3"/>
  <c r="F155" i="3"/>
  <c r="F174" i="3"/>
  <c r="F181" i="3"/>
  <c r="C7" i="3" l="1"/>
  <c r="B2" i="3" s="1"/>
  <c r="E2" i="3" s="1"/>
  <c r="F2" i="3" s="1"/>
</calcChain>
</file>

<file path=xl/comments1.xml><?xml version="1.0" encoding="utf-8"?>
<comments xmlns="http://schemas.openxmlformats.org/spreadsheetml/2006/main">
  <authors>
    <author>User</author>
  </authors>
  <commentList>
    <comment ref="F223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ע"פ הסכם. בגין ריכוז 2015
</t>
        </r>
      </text>
    </comment>
    <comment ref="F224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ע"פ הסכם. אם הכנס נדחה ולא מבוטל- השלמת 40,000 ₪ מכספי יד הנדיב</t>
        </r>
      </text>
    </comment>
  </commentList>
</comments>
</file>

<file path=xl/sharedStrings.xml><?xml version="1.0" encoding="utf-8"?>
<sst xmlns="http://schemas.openxmlformats.org/spreadsheetml/2006/main" count="382" uniqueCount="226">
  <si>
    <t>מספר</t>
  </si>
  <si>
    <t>כמות</t>
  </si>
  <si>
    <t>פירוט</t>
  </si>
  <si>
    <t>סה"כ</t>
  </si>
  <si>
    <t>יועץ לאיתור מועמדים בחו"ל (כולל מע"מ)</t>
  </si>
  <si>
    <t>הוצאות:</t>
  </si>
  <si>
    <t>חדרים למלוים ישראלים (כולל מע"מ)</t>
  </si>
  <si>
    <t xml:space="preserve">מיון משלחת ישראלית וקבוצות רב לאומיות </t>
  </si>
  <si>
    <t>ביטוח</t>
  </si>
  <si>
    <t>ארוחות צהריים ל 420 סועדים (320 משתתפים+ 60 ראשי משלחות+ 40 אנשי צוות וסטודנטים מלווי משלחות, ומרצים אורחים)</t>
  </si>
  <si>
    <t>לינות ל-320 משתתפים+ 60 ראשי משלחות+5 חדרי צוות</t>
  </si>
  <si>
    <t>אירוע פתיחה</t>
  </si>
  <si>
    <t>מיומנה בהרכב מלא</t>
  </si>
  <si>
    <t>אישורי מהנדסים (קונסטרוקציה, חשמל ובטיחות )- BSAFE</t>
  </si>
  <si>
    <t>אולם</t>
  </si>
  <si>
    <t>מנחה</t>
  </si>
  <si>
    <t>אולם במלון</t>
  </si>
  <si>
    <t>קפה רץ- בסעיפי אירוח</t>
  </si>
  <si>
    <t>גאיה</t>
  </si>
  <si>
    <t>מסכים</t>
  </si>
  <si>
    <t xml:space="preserve">מחשבים לעבודה בקבוצות </t>
  </si>
  <si>
    <t>אינטרנט</t>
  </si>
  <si>
    <t>הקרנה והגברה</t>
  </si>
  <si>
    <t>השכרת מסכים - בסעיף הצגת פרוייקטים</t>
  </si>
  <si>
    <t>אבטחה</t>
  </si>
  <si>
    <t>תגבור ניקיון</t>
  </si>
  <si>
    <t>סדרנים</t>
  </si>
  <si>
    <t>איש טכני- חשמל צמוד</t>
  </si>
  <si>
    <t>איש טכני- סאונד צמוד</t>
  </si>
  <si>
    <t>מנחה מוזיקלית</t>
  </si>
  <si>
    <t>4</t>
  </si>
  <si>
    <t>ימים</t>
  </si>
  <si>
    <t>ליום</t>
  </si>
  <si>
    <t>1</t>
  </si>
  <si>
    <t>מנחים- עבודה בקבוצות רב לאומיות- בסעיפים אקדמיים</t>
  </si>
  <si>
    <t>מרצים- החזר הוצאות- בסעיפי אקדמיים</t>
  </si>
  <si>
    <t>הסעות מיוחדות</t>
  </si>
  <si>
    <t>הסעות</t>
  </si>
  <si>
    <t>עוזרי הפקה לאוריה</t>
  </si>
  <si>
    <t xml:space="preserve">כ"א שוטף לכל ימי הכנס </t>
  </si>
  <si>
    <t>הזמנות</t>
  </si>
  <si>
    <t>תעודות</t>
  </si>
  <si>
    <t>ליחידה</t>
  </si>
  <si>
    <t>הפקות דפוס וקיט משתתף</t>
  </si>
  <si>
    <t>תגים +שרוך</t>
  </si>
  <si>
    <t>תיקים</t>
  </si>
  <si>
    <t>חולצות</t>
  </si>
  <si>
    <t>כובעים</t>
  </si>
  <si>
    <t>עט</t>
  </si>
  <si>
    <t>ראיונות עם חתני פרס הנובל</t>
  </si>
  <si>
    <t>מדריך</t>
  </si>
  <si>
    <t>שלושה ימי צילום וידאו- בסעיפי צילום</t>
  </si>
  <si>
    <t>עריכה- בסעיפי צילום</t>
  </si>
  <si>
    <t xml:space="preserve">רישום וקבלת משתתפים </t>
  </si>
  <si>
    <t>4 דיילות ועמדות הרשמה   יום שלם</t>
  </si>
  <si>
    <t>צילום תמונות אישיות וקבוצתיות+הדפסת תמונות בפולדר</t>
  </si>
  <si>
    <t>פולדר תמונות- בסעיף צילום</t>
  </si>
  <si>
    <t>שירותי שדה תעופה וגבולות דו כיוני</t>
  </si>
  <si>
    <t>VOD קטלוג חומרים מצולם</t>
  </si>
  <si>
    <t>שידור חי</t>
  </si>
  <si>
    <t xml:space="preserve">צילום ועריכה- </t>
  </si>
  <si>
    <t>עורך ומערכת עריכה- להרצאות</t>
  </si>
  <si>
    <t>מע' ניתוב+נתב+ במאי- להרצאות</t>
  </si>
  <si>
    <t>צילום ועריכת קליפ יומי</t>
  </si>
  <si>
    <t>קליפ מסכם</t>
  </si>
  <si>
    <t>ניידת לוויינית</t>
  </si>
  <si>
    <t>צילום ותיעוד ושידור לאינטרנט</t>
  </si>
  <si>
    <t>נק' אינטרנט נוספות</t>
  </si>
  <si>
    <t>הראל ידידים</t>
  </si>
  <si>
    <t>חודשים</t>
  </si>
  <si>
    <t>בניית תכנית הכנס- חלק אקדמי- וגיוס משתתפים</t>
  </si>
  <si>
    <t xml:space="preserve">מיתוג </t>
  </si>
  <si>
    <t>סיורים</t>
  </si>
  <si>
    <t>בקבוקי מים- לשני ימי הסיור</t>
  </si>
  <si>
    <t>הפעלות לסיור ערב</t>
  </si>
  <si>
    <t>3</t>
  </si>
  <si>
    <t>נובליסטים</t>
  </si>
  <si>
    <t>לוגו- ליאון</t>
  </si>
  <si>
    <t>מסיבות עיתונאים ואירועי תקשורת</t>
  </si>
  <si>
    <t>חוברות כנס+מוקטנת</t>
  </si>
  <si>
    <t>פוטו-אופ</t>
  </si>
  <si>
    <t xml:space="preserve">ריהוט: שולחנות וכיסאות בר להסעדה, פינות ישיבה בפואיה  </t>
  </si>
  <si>
    <t xml:space="preserve">דקורציה: סידורי פרחים על גבי שולחנות, סידור דוכן נואם, סידורים בחלל </t>
  </si>
  <si>
    <t xml:space="preserve">טכני: הגברה  </t>
  </si>
  <si>
    <t xml:space="preserve">טכני: תאורה  </t>
  </si>
  <si>
    <t xml:space="preserve">טכני: אורקולי </t>
  </si>
  <si>
    <t>טכני: מערכת הגברה ותוספות מפרט אמן</t>
  </si>
  <si>
    <t xml:space="preserve">טכני: תאורה בפואיה קבלת פנים ותאורת מופע </t>
  </si>
  <si>
    <t xml:space="preserve">טכני הגברה </t>
  </si>
  <si>
    <t xml:space="preserve">טכני תאורה </t>
  </si>
  <si>
    <t xml:space="preserve">טכני אורקולי </t>
  </si>
  <si>
    <t>השכרת ריהוט: שולחנות וכיסאות בר- תוספות</t>
  </si>
  <si>
    <t>red band / דויד ד'אור</t>
  </si>
  <si>
    <t>DJ</t>
  </si>
  <si>
    <t xml:space="preserve">מיתוג במה: קוליסות תפאורה, דוכן נואם </t>
  </si>
  <si>
    <t>מיתוג כניסה: שלט קבלת פנים</t>
  </si>
  <si>
    <t xml:space="preserve">עמדות ממותגות: דלפקי קבלה ממתוגים </t>
  </si>
  <si>
    <t xml:space="preserve">VIP הסעות נובליסטים לירושלים וחזרה </t>
  </si>
  <si>
    <t xml:space="preserve">שער כניסה בקמפוס </t>
  </si>
  <si>
    <t xml:space="preserve">באנר כניסה בקמפוס </t>
  </si>
  <si>
    <t xml:space="preserve">שלטי הסעות - מגנטים </t>
  </si>
  <si>
    <t xml:space="preserve">שלטים דקורטיבים במתחם הקמפוס - איינשטיין </t>
  </si>
  <si>
    <t xml:space="preserve">דגלי מים </t>
  </si>
  <si>
    <t xml:space="preserve">רולאפים להכוונה </t>
  </si>
  <si>
    <t>מיתוג- גב במה</t>
  </si>
  <si>
    <t>הכוונה</t>
  </si>
  <si>
    <t>הגברה והקרנה</t>
  </si>
  <si>
    <t>רכשת ספרים כמתנות- פרסים לזוכים בתחרות הפוסטרים המדעיים והשאלה הטובה</t>
  </si>
  <si>
    <t>הסעות  מנתב"ג למלון - דו כווני</t>
  </si>
  <si>
    <t>לינת נובליסטים</t>
  </si>
  <si>
    <t>קייטרינג</t>
  </si>
  <si>
    <t>כיבוד ושתייה</t>
  </si>
  <si>
    <t>אולם נוסף במלון</t>
  </si>
  <si>
    <t>5</t>
  </si>
  <si>
    <t>3 רכבים שכורים לשבוע+ דלק.</t>
  </si>
  <si>
    <t>מיתוג</t>
  </si>
  <si>
    <t>שתייה חמה וקרה וכיבוד בקמפוס</t>
  </si>
  <si>
    <t xml:space="preserve">כ"א אבטחה מחושב לפי  10  מאבטחים </t>
  </si>
  <si>
    <t>שער דולר:</t>
  </si>
  <si>
    <t>מדליות</t>
  </si>
  <si>
    <t xml:space="preserve">כ"א דיילות מחושב לפי 4 דיילות ל6 שעות </t>
  </si>
  <si>
    <t>רכבים</t>
  </si>
  <si>
    <t>חברת הפקה-תכנון לוז צילומים ותקשורת</t>
  </si>
  <si>
    <t>ארוחות</t>
  </si>
  <si>
    <t>חשיפה תקשורתית ויחסי ציבור</t>
  </si>
  <si>
    <t>חברת הפקה - לווי בפועל</t>
  </si>
  <si>
    <t>הונורריום לחתני פרס נובל</t>
  </si>
  <si>
    <t>טיפול והעברות בשדה- בסעיף העברות לשדה של כלל המשלחות</t>
  </si>
  <si>
    <t>מנהל לוגיסטי ושינוע - אוריה</t>
  </si>
  <si>
    <t>דיסק און קי 8G</t>
  </si>
  <si>
    <t>סטודיו סדובסקי ברלין- מיתוג עיצוב ושפה גראפית</t>
  </si>
  <si>
    <t>מדבקות PVC לריצפה</t>
  </si>
  <si>
    <t xml:space="preserve"> נובליסטים- טיפול Royal service -נתב"ג- הגעה</t>
  </si>
  <si>
    <t xml:space="preserve"> נובליסטים נסיעות בירושלים</t>
  </si>
  <si>
    <t>מיניבוס נובליסטים- נסיעות מרוכזות לאירועים</t>
  </si>
  <si>
    <t>שירות Royal service - כניסה</t>
  </si>
  <si>
    <t>שירות Royal service - יציאה</t>
  </si>
  <si>
    <t>עיתונאים Royal service - כניסה</t>
  </si>
  <si>
    <t>עיתונאים Royal service - יציאה</t>
  </si>
  <si>
    <t>* בהנחה שיגיעו פחות אנשי תקשורת נמיר את עודפי התקציב לצרכי חשיפה תקשורתית</t>
  </si>
  <si>
    <t>שלטי הכוונה</t>
  </si>
  <si>
    <t>הפקות תוכן וסרטוני תדמית</t>
  </si>
  <si>
    <t>קמפיין עולמי ברשתות חברתיות</t>
  </si>
  <si>
    <t>אירוח</t>
  </si>
  <si>
    <t xml:space="preserve">אירועים </t>
  </si>
  <si>
    <t>וולדורף אסטוריה:</t>
  </si>
  <si>
    <t>חלופה לאולם:</t>
  </si>
  <si>
    <r>
      <t xml:space="preserve">אירוע פתיחה 17/8    </t>
    </r>
    <r>
      <rPr>
        <sz val="12"/>
        <rFont val="David"/>
        <family val="2"/>
        <charset val="177"/>
      </rPr>
      <t>אולם מקסיקו הר הצופים</t>
    </r>
  </si>
  <si>
    <t xml:space="preserve">תוספת אבטחה וניקיון 3 אנשים טכני </t>
  </si>
  <si>
    <t>כ"א טכנאי הפקה חשמל ומערכות</t>
  </si>
  <si>
    <t xml:space="preserve">עלות </t>
  </si>
  <si>
    <t>מרצים- החזר הוצאות</t>
  </si>
  <si>
    <t>ראש המשלחת הישארלית</t>
  </si>
  <si>
    <t>סה"כ הוצאות</t>
  </si>
  <si>
    <t>אירוח צוותי טלוויזיה ועיתונאים מהעולם</t>
  </si>
  <si>
    <t>23 ₪ ליום לאדם לא כולל מע"מ</t>
  </si>
  <si>
    <t>שונות</t>
  </si>
  <si>
    <t xml:space="preserve">בניית אתר אינטרנט </t>
  </si>
  <si>
    <t>תקציב</t>
  </si>
  <si>
    <t>בניית תכנית הכנס וריכוז (בעקבות הדחייה הפחתת התמורה ל-2014 ב:20,000)</t>
  </si>
  <si>
    <t>מנהל אקדמי (בעקבות הדחייה הפחתת התמורה ל-2014 ב:20,000)</t>
  </si>
  <si>
    <t xml:space="preserve">תחזוקה ועדכון האתר עד למועדו החדש של הכנס </t>
  </si>
  <si>
    <t>מזכירת הכנס משרה מלאה(לא כולל שעות נוספות במידת הצורך) מאפריל 2015 עד יולי 2015. עלות מעביד 10,000 שח לחודש</t>
  </si>
  <si>
    <t>מזכירת הכנס  חצי משרה(לא כולל שעות נוספות במידת הצורך) מאוק' 2014 עד מרץ 2015+ אוגוסט 2015. עלות מעביד 5000 שח לחודש</t>
  </si>
  <si>
    <t xml:space="preserve">חברת יח"צ ופרסום- ניהול אסטרטגיה תקשורתית למקסום החשיפה בארץ ובעולם </t>
  </si>
  <si>
    <t>סטודנטים מלווים 25-30/7 (6) + 1 יום הכנה</t>
  </si>
  <si>
    <t>פולדר +דפים</t>
  </si>
  <si>
    <t xml:space="preserve">300$ לחדר זוגי. תעריף מוזל מיוחד. </t>
  </si>
  <si>
    <t xml:space="preserve">ארוחות צהריים </t>
  </si>
  <si>
    <t>ארוחות צהריים נובליסטים ומרצים</t>
  </si>
  <si>
    <t>אירוע הצגת פרוייקטים מדעיים 30/7</t>
  </si>
  <si>
    <t xml:space="preserve">השכרת ריהוט משלים- גונג </t>
  </si>
  <si>
    <t>טקס סיום 30.7</t>
  </si>
  <si>
    <t>ערב בתל אביב 29/7</t>
  </si>
  <si>
    <r>
      <t xml:space="preserve">התכנסות פתיחה וספיד דייטינג 16/8   </t>
    </r>
    <r>
      <rPr>
        <sz val="12"/>
        <rFont val="David"/>
        <family val="2"/>
        <charset val="177"/>
      </rPr>
      <t>אולם במלון</t>
    </r>
  </si>
  <si>
    <t xml:space="preserve">  Think It  28/7   </t>
  </si>
  <si>
    <t xml:space="preserve">הצמדת 8 אוטובוסים לכל ימי הכנס </t>
  </si>
  <si>
    <t xml:space="preserve">מופע: יצירת קונספט, מולטימדיה- משמרות אולפן אפטר, סאונד וgreen screen , </t>
  </si>
  <si>
    <t>טכני למופע- קוליסות, בניית תפאורה ומקרנים</t>
  </si>
  <si>
    <t xml:space="preserve">שתיה קרה לאירוע ספיד דייטניג במלון </t>
  </si>
  <si>
    <t>חישוב נוכחי</t>
  </si>
  <si>
    <t>345,000 אחרי הכנסות יד הנדיב</t>
  </si>
  <si>
    <t>לא כולל מעמ</t>
  </si>
  <si>
    <t>הערכה</t>
  </si>
  <si>
    <t>מספר לילות</t>
  </si>
  <si>
    <t>בניית אתר</t>
  </si>
  <si>
    <t>הוצאות לא צפויות</t>
  </si>
  <si>
    <t>מושבים מקבילים 30/7</t>
  </si>
  <si>
    <t xml:space="preserve"> נובליסטים- טיפול Royal service -נתב"ג- יציאה</t>
  </si>
  <si>
    <t>.טיסות  זוגיות ביזנס * מימון בן זוג לחצי מהמוזמנים-</t>
  </si>
  <si>
    <t xml:space="preserve"> עמלות בנקאיות</t>
  </si>
  <si>
    <t>פער בין הכנסות להוצאות</t>
  </si>
  <si>
    <t xml:space="preserve">אולם במלון  </t>
  </si>
  <si>
    <t>78 Brain Session</t>
  </si>
  <si>
    <t>20* 5 לילות</t>
  </si>
  <si>
    <t>חדרים - דאבל- למשתתפים זרים</t>
  </si>
  <si>
    <t>חדרים- דאבל- למשתתפים ישראלים  (כולל מע"מ)</t>
  </si>
  <si>
    <t>חדרי סינגל- ראשי משלחות מחול</t>
  </si>
  <si>
    <t>לינות עיתונאים וצוות תקשורת מהעולם- בסעיף לינה</t>
  </si>
  <si>
    <t>לינת עיתונאים</t>
  </si>
  <si>
    <t xml:space="preserve">שתיה </t>
  </si>
  <si>
    <t>פאנלים- הרצאות מליאה</t>
  </si>
  <si>
    <t>4 צלמי סטילס לפי 6 ימים</t>
  </si>
  <si>
    <t>624 ₪ לחדר סינגל</t>
  </si>
  <si>
    <t>חדרי צוות בעלות 50% מסינגל</t>
  </si>
  <si>
    <t>עלות מקורית</t>
  </si>
  <si>
    <t>קפה רץ וכיבוד עם שתייה קלה - באולמות הרצאות- 4 ימים</t>
  </si>
  <si>
    <t>אירוע ערב בת"א</t>
  </si>
  <si>
    <t>עלות עדכנית</t>
  </si>
  <si>
    <t>הכנת האולם ע"י המלון- בניית במה וקונסטרוקציה+ קוקטייל</t>
  </si>
  <si>
    <t>ליאור סושארד-הנחייה +הופעה</t>
  </si>
  <si>
    <t>אולמות</t>
  </si>
  <si>
    <t>לינת משתתפים-חצי פנסיון</t>
  </si>
  <si>
    <t>744 ₪ לחדר דאבל</t>
  </si>
  <si>
    <t>מס' לילות</t>
  </si>
  <si>
    <t>מס' לנים</t>
  </si>
  <si>
    <t>פעילות ערב בירושלים 17/8</t>
  </si>
  <si>
    <t>סיור בוקר בירושלים 19/8</t>
  </si>
  <si>
    <t>לינת נובליסטים מחול</t>
  </si>
  <si>
    <t>לינת נובליסטים מישראל</t>
  </si>
  <si>
    <t>תקציב הפרוייקט ע"פ התקציב אצל חט' תקציבים משרד החוץ</t>
  </si>
  <si>
    <t>חישוב עדכני</t>
  </si>
  <si>
    <t>עלות מקורית לפני עדכון</t>
  </si>
  <si>
    <t>אייטם חוקרים צעירים</t>
  </si>
  <si>
    <t>0</t>
  </si>
  <si>
    <t>הוועדה המארגנת של הכנס עושה מאמץ לעדכן ולצמצם את התקציב בכל עת לשם הקצאת משאבים לפרמטרים אשר קוצצו על מנת להתכנס לתקציב. פרמטרים אלו הכרחיים להצלחת הכנס והשגת מטרותיו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</si>
</sst>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1" formatCode="_ * #,##0_ ;_ * \-#,##0_ ;_ * &quot;-&quot;_ ;_ @_ "/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_ * #,##0.0_ ;_ * \-#,##0.0_ ;_ * &quot;-&quot;??_ ;_ @_ "/>
    <numFmt numFmtId="167" formatCode="&quot;$&quot;#,##0"/>
    <numFmt numFmtId="168" formatCode="[$$-409]#,##0"/>
    <numFmt numFmtId="169" formatCode="[$$-409]#,##0.00"/>
    <numFmt numFmtId="170" formatCode="[$$-409]#,##0_ ;\-[$$-409]#,##0\ "/>
    <numFmt numFmtId="171" formatCode="_ * #,##0.0_ ;_ * \-#,##0.0_ ;_ * &quot;-&quot;?_ ;_ @_ "/>
    <numFmt numFmtId="172" formatCode="#,##0.00_ ;\-#,##0.00\ "/>
    <numFmt numFmtId="173" formatCode="_(* #,##0_);_(* \(#,##0\);_(* &quot;-&quot;??_);_(@_)"/>
    <numFmt numFmtId="174" formatCode="0_ ;\-0\ "/>
    <numFmt numFmtId="175" formatCode="#,##0_ ;\-#,##0\ "/>
  </numFmts>
  <fonts count="21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2"/>
      <name val="David"/>
      <family val="2"/>
      <charset val="177"/>
    </font>
    <font>
      <sz val="12"/>
      <name val="David"/>
      <family val="2"/>
      <charset val="177"/>
    </font>
    <font>
      <sz val="12"/>
      <color rgb="FFFF0000"/>
      <name val="David"/>
      <family val="2"/>
      <charset val="177"/>
    </font>
    <font>
      <b/>
      <sz val="12"/>
      <color rgb="FFFF0000"/>
      <name val="David"/>
      <family val="2"/>
      <charset val="177"/>
    </font>
    <font>
      <b/>
      <sz val="11"/>
      <name val="Arial"/>
      <family val="2"/>
      <scheme val="minor"/>
    </font>
    <font>
      <b/>
      <sz val="11"/>
      <color theme="1"/>
      <name val="Arial"/>
      <family val="2"/>
      <scheme val="minor"/>
    </font>
    <font>
      <sz val="9"/>
      <color theme="1"/>
      <name val="Arial"/>
      <family val="2"/>
      <charset val="177"/>
      <scheme val="minor"/>
    </font>
    <font>
      <sz val="1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4"/>
      <name val="David"/>
      <family val="2"/>
      <charset val="177"/>
    </font>
    <font>
      <b/>
      <sz val="12"/>
      <color rgb="FF0000FF"/>
      <name val="David"/>
      <family val="2"/>
      <charset val="177"/>
    </font>
    <font>
      <b/>
      <sz val="12"/>
      <color rgb="FFFF6600"/>
      <name val="David"/>
      <family val="2"/>
      <charset val="177"/>
    </font>
    <font>
      <b/>
      <sz val="10"/>
      <name val="David"/>
      <family val="2"/>
      <charset val="177"/>
    </font>
    <font>
      <b/>
      <sz val="12"/>
      <color theme="9" tint="-0.249977111117893"/>
      <name val="David"/>
      <family val="2"/>
      <charset val="177"/>
    </font>
    <font>
      <sz val="12"/>
      <color theme="1"/>
      <name val="David"/>
      <family val="2"/>
      <charset val="177"/>
    </font>
    <font>
      <sz val="11"/>
      <color theme="1"/>
      <name val="David"/>
      <family val="2"/>
      <charset val="177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name val="David"/>
      <family val="2"/>
      <charset val="177"/>
    </font>
  </fonts>
  <fills count="31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3C9"/>
        <bgColor indexed="64"/>
      </patternFill>
    </fill>
    <fill>
      <patternFill patternType="solid">
        <fgColor rgb="FFFFD5FF"/>
        <bgColor indexed="64"/>
      </patternFill>
    </fill>
    <fill>
      <patternFill patternType="solid">
        <fgColor rgb="FFFFA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DD3EF"/>
        <bgColor indexed="64"/>
      </patternFill>
    </fill>
    <fill>
      <patternFill patternType="solid">
        <fgColor rgb="FFBEE395"/>
        <bgColor indexed="64"/>
      </patternFill>
    </fill>
    <fill>
      <patternFill patternType="solid">
        <fgColor rgb="FFC8FDB9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5">
    <xf numFmtId="0" fontId="0" fillId="0" borderId="0" xfId="0"/>
    <xf numFmtId="0" fontId="2" fillId="0" borderId="0" xfId="0" applyFont="1"/>
    <xf numFmtId="0" fontId="3" fillId="0" borderId="0" xfId="0" applyFont="1"/>
    <xf numFmtId="165" fontId="3" fillId="0" borderId="0" xfId="1" applyNumberFormat="1" applyFont="1"/>
    <xf numFmtId="165" fontId="3" fillId="0" borderId="0" xfId="1" applyNumberFormat="1" applyFont="1" applyBorder="1"/>
    <xf numFmtId="165" fontId="2" fillId="0" borderId="0" xfId="1" applyNumberFormat="1" applyFont="1"/>
    <xf numFmtId="165" fontId="2" fillId="0" borderId="0" xfId="1" applyNumberFormat="1" applyFont="1" applyBorder="1"/>
    <xf numFmtId="165" fontId="2" fillId="0" borderId="0" xfId="1" applyNumberFormat="1" applyFont="1" applyFill="1"/>
    <xf numFmtId="3" fontId="3" fillId="0" borderId="0" xfId="0" applyNumberFormat="1" applyFont="1"/>
    <xf numFmtId="165" fontId="2" fillId="2" borderId="0" xfId="1" applyNumberFormat="1" applyFont="1" applyFill="1"/>
    <xf numFmtId="49" fontId="3" fillId="0" borderId="0" xfId="1" applyNumberFormat="1" applyFont="1" applyAlignment="1">
      <alignment horizontal="right" readingOrder="2"/>
    </xf>
    <xf numFmtId="0" fontId="3" fillId="4" borderId="0" xfId="0" applyFont="1" applyFill="1"/>
    <xf numFmtId="165" fontId="2" fillId="3" borderId="0" xfId="1" applyNumberFormat="1" applyFont="1" applyFill="1"/>
    <xf numFmtId="0" fontId="3" fillId="5" borderId="0" xfId="0" applyFont="1" applyFill="1"/>
    <xf numFmtId="0" fontId="2" fillId="2" borderId="0" xfId="0" applyFont="1" applyFill="1" applyBorder="1"/>
    <xf numFmtId="165" fontId="4" fillId="0" borderId="0" xfId="1" applyNumberFormat="1" applyFont="1"/>
    <xf numFmtId="0" fontId="3" fillId="0" borderId="0" xfId="0" applyFont="1" applyFill="1"/>
    <xf numFmtId="165" fontId="2" fillId="5" borderId="0" xfId="1" applyNumberFormat="1" applyFont="1" applyFill="1"/>
    <xf numFmtId="165" fontId="3" fillId="8" borderId="0" xfId="1" applyNumberFormat="1" applyFont="1" applyFill="1"/>
    <xf numFmtId="0" fontId="3" fillId="2" borderId="0" xfId="0" applyFont="1" applyFill="1"/>
    <xf numFmtId="0" fontId="2" fillId="0" borderId="0" xfId="0" applyFont="1" applyFill="1"/>
    <xf numFmtId="165" fontId="2" fillId="9" borderId="0" xfId="1" applyNumberFormat="1" applyFont="1" applyFill="1"/>
    <xf numFmtId="165" fontId="3" fillId="0" borderId="0" xfId="1" applyNumberFormat="1" applyFont="1" applyFill="1"/>
    <xf numFmtId="165" fontId="3" fillId="0" borderId="0" xfId="1" applyNumberFormat="1" applyFont="1" applyFill="1" applyBorder="1"/>
    <xf numFmtId="0" fontId="2" fillId="7" borderId="0" xfId="0" applyFont="1" applyFill="1"/>
    <xf numFmtId="165" fontId="2" fillId="7" borderId="0" xfId="1" applyNumberFormat="1" applyFont="1" applyFill="1"/>
    <xf numFmtId="165" fontId="2" fillId="10" borderId="0" xfId="1" applyNumberFormat="1" applyFont="1" applyFill="1"/>
    <xf numFmtId="49" fontId="3" fillId="0" borderId="0" xfId="1" applyNumberFormat="1" applyFont="1" applyFill="1" applyAlignment="1">
      <alignment horizontal="right" readingOrder="2"/>
    </xf>
    <xf numFmtId="165" fontId="2" fillId="0" borderId="0" xfId="1" applyNumberFormat="1" applyFont="1" applyFill="1" applyBorder="1"/>
    <xf numFmtId="0" fontId="2" fillId="11" borderId="0" xfId="0" applyFont="1" applyFill="1"/>
    <xf numFmtId="0" fontId="3" fillId="11" borderId="0" xfId="0" applyFont="1" applyFill="1"/>
    <xf numFmtId="165" fontId="2" fillId="11" borderId="0" xfId="1" applyNumberFormat="1" applyFont="1" applyFill="1"/>
    <xf numFmtId="0" fontId="0" fillId="0" borderId="0" xfId="0" applyFill="1"/>
    <xf numFmtId="0" fontId="2" fillId="8" borderId="0" xfId="0" applyFont="1" applyFill="1"/>
    <xf numFmtId="0" fontId="3" fillId="8" borderId="0" xfId="0" applyFont="1" applyFill="1"/>
    <xf numFmtId="3" fontId="2" fillId="2" borderId="0" xfId="0" applyNumberFormat="1" applyFont="1" applyFill="1"/>
    <xf numFmtId="165" fontId="2" fillId="8" borderId="0" xfId="1" applyNumberFormat="1" applyFont="1" applyFill="1"/>
    <xf numFmtId="165" fontId="2" fillId="12" borderId="0" xfId="1" applyNumberFormat="1" applyFont="1" applyFill="1"/>
    <xf numFmtId="0" fontId="3" fillId="12" borderId="0" xfId="0" applyFont="1" applyFill="1"/>
    <xf numFmtId="0" fontId="7" fillId="10" borderId="0" xfId="0" applyFont="1" applyFill="1"/>
    <xf numFmtId="0" fontId="2" fillId="2" borderId="0" xfId="0" applyFont="1" applyFill="1"/>
    <xf numFmtId="0" fontId="11" fillId="2" borderId="0" xfId="0" applyFont="1" applyFill="1" applyBorder="1"/>
    <xf numFmtId="165" fontId="2" fillId="14" borderId="0" xfId="1" applyNumberFormat="1" applyFont="1" applyFill="1"/>
    <xf numFmtId="165" fontId="2" fillId="15" borderId="0" xfId="1" applyNumberFormat="1" applyFont="1" applyFill="1"/>
    <xf numFmtId="165" fontId="2" fillId="16" borderId="0" xfId="1" applyNumberFormat="1" applyFont="1" applyFill="1"/>
    <xf numFmtId="165" fontId="2" fillId="17" borderId="0" xfId="1" applyNumberFormat="1" applyFont="1" applyFill="1"/>
    <xf numFmtId="0" fontId="3" fillId="16" borderId="0" xfId="0" applyFont="1" applyFill="1"/>
    <xf numFmtId="165" fontId="3" fillId="4" borderId="0" xfId="1" applyNumberFormat="1" applyFont="1" applyFill="1"/>
    <xf numFmtId="0" fontId="0" fillId="10" borderId="0" xfId="0" applyFill="1"/>
    <xf numFmtId="0" fontId="3" fillId="0" borderId="0" xfId="0" applyFont="1" applyFill="1" applyBorder="1"/>
    <xf numFmtId="0" fontId="2" fillId="0" borderId="0" xfId="0" applyFont="1" applyFill="1" applyBorder="1"/>
    <xf numFmtId="0" fontId="3" fillId="4" borderId="0" xfId="0" applyFont="1" applyFill="1" applyBorder="1"/>
    <xf numFmtId="0" fontId="3" fillId="3" borderId="0" xfId="0" applyFont="1" applyFill="1" applyBorder="1"/>
    <xf numFmtId="0" fontId="3" fillId="3" borderId="0" xfId="0" applyFont="1" applyFill="1" applyBorder="1" applyAlignment="1">
      <alignment horizontal="right" readingOrder="2"/>
    </xf>
    <xf numFmtId="165" fontId="3" fillId="3" borderId="0" xfId="1" applyNumberFormat="1" applyFont="1" applyFill="1" applyBorder="1"/>
    <xf numFmtId="165" fontId="3" fillId="3" borderId="0" xfId="1" applyNumberFormat="1" applyFont="1" applyFill="1"/>
    <xf numFmtId="0" fontId="3" fillId="3" borderId="0" xfId="0" applyFont="1" applyFill="1"/>
    <xf numFmtId="0" fontId="2" fillId="3" borderId="0" xfId="0" applyFont="1" applyFill="1" applyBorder="1"/>
    <xf numFmtId="165" fontId="2" fillId="3" borderId="0" xfId="1" applyNumberFormat="1" applyFont="1" applyFill="1" applyBorder="1"/>
    <xf numFmtId="0" fontId="2" fillId="3" borderId="0" xfId="0" applyFont="1" applyFill="1"/>
    <xf numFmtId="165" fontId="3" fillId="3" borderId="0" xfId="1" applyNumberFormat="1" applyFont="1" applyFill="1" applyBorder="1" applyAlignment="1">
      <alignment horizontal="right" readingOrder="2"/>
    </xf>
    <xf numFmtId="49" fontId="3" fillId="3" borderId="0" xfId="1" applyNumberFormat="1" applyFont="1" applyFill="1" applyBorder="1" applyAlignment="1">
      <alignment horizontal="right" readingOrder="2"/>
    </xf>
    <xf numFmtId="0" fontId="3" fillId="3" borderId="0" xfId="0" applyFont="1" applyFill="1" applyAlignment="1">
      <alignment horizontal="right"/>
    </xf>
    <xf numFmtId="165" fontId="3" fillId="14" borderId="0" xfId="1" applyNumberFormat="1" applyFont="1" applyFill="1" applyBorder="1"/>
    <xf numFmtId="165" fontId="3" fillId="14" borderId="0" xfId="1" applyNumberFormat="1" applyFont="1" applyFill="1"/>
    <xf numFmtId="0" fontId="3" fillId="14" borderId="0" xfId="0" applyFont="1" applyFill="1"/>
    <xf numFmtId="0" fontId="3" fillId="4" borderId="0" xfId="0" applyFont="1" applyFill="1" applyBorder="1" applyAlignment="1">
      <alignment horizontal="right" readingOrder="2"/>
    </xf>
    <xf numFmtId="165" fontId="3" fillId="4" borderId="0" xfId="1" applyNumberFormat="1" applyFont="1" applyFill="1" applyBorder="1"/>
    <xf numFmtId="0" fontId="3" fillId="4" borderId="0" xfId="0" applyFont="1" applyFill="1" applyAlignment="1">
      <alignment horizontal="right"/>
    </xf>
    <xf numFmtId="0" fontId="11" fillId="4" borderId="0" xfId="0" applyFont="1" applyFill="1"/>
    <xf numFmtId="0" fontId="2" fillId="4" borderId="0" xfId="0" applyFont="1" applyFill="1" applyBorder="1"/>
    <xf numFmtId="0" fontId="2" fillId="4" borderId="0" xfId="0" applyFont="1" applyFill="1"/>
    <xf numFmtId="165" fontId="3" fillId="2" borderId="0" xfId="1" applyNumberFormat="1" applyFont="1" applyFill="1"/>
    <xf numFmtId="49" fontId="3" fillId="2" borderId="0" xfId="1" applyNumberFormat="1" applyFont="1" applyFill="1" applyAlignment="1">
      <alignment horizontal="right" readingOrder="2"/>
    </xf>
    <xf numFmtId="0" fontId="2" fillId="18" borderId="0" xfId="0" applyFont="1" applyFill="1"/>
    <xf numFmtId="165" fontId="2" fillId="18" borderId="0" xfId="1" applyNumberFormat="1" applyFont="1" applyFill="1"/>
    <xf numFmtId="165" fontId="3" fillId="18" borderId="0" xfId="1" applyNumberFormat="1" applyFont="1" applyFill="1"/>
    <xf numFmtId="0" fontId="3" fillId="18" borderId="0" xfId="0" applyFont="1" applyFill="1"/>
    <xf numFmtId="49" fontId="3" fillId="18" borderId="0" xfId="1" applyNumberFormat="1" applyFont="1" applyFill="1" applyAlignment="1">
      <alignment horizontal="right" readingOrder="2"/>
    </xf>
    <xf numFmtId="49" fontId="3" fillId="3" borderId="0" xfId="1" applyNumberFormat="1" applyFont="1" applyFill="1" applyAlignment="1">
      <alignment horizontal="right" readingOrder="2"/>
    </xf>
    <xf numFmtId="0" fontId="3" fillId="15" borderId="0" xfId="0" applyFont="1" applyFill="1"/>
    <xf numFmtId="165" fontId="3" fillId="15" borderId="0" xfId="1" applyNumberFormat="1" applyFont="1" applyFill="1"/>
    <xf numFmtId="165" fontId="3" fillId="15" borderId="0" xfId="1" applyNumberFormat="1" applyFont="1" applyFill="1" applyBorder="1"/>
    <xf numFmtId="49" fontId="3" fillId="14" borderId="0" xfId="1" applyNumberFormat="1" applyFont="1" applyFill="1" applyAlignment="1">
      <alignment horizontal="right" readingOrder="2"/>
    </xf>
    <xf numFmtId="0" fontId="3" fillId="4" borderId="0" xfId="0" applyFont="1" applyFill="1" applyAlignment="1">
      <alignment horizontal="right" readingOrder="2"/>
    </xf>
    <xf numFmtId="49" fontId="3" fillId="4" borderId="0" xfId="1" applyNumberFormat="1" applyFont="1" applyFill="1" applyAlignment="1">
      <alignment horizontal="right" readingOrder="2"/>
    </xf>
    <xf numFmtId="0" fontId="2" fillId="3" borderId="0" xfId="0" applyFont="1" applyFill="1" applyAlignment="1">
      <alignment horizontal="right"/>
    </xf>
    <xf numFmtId="165" fontId="2" fillId="3" borderId="0" xfId="1" applyNumberFormat="1" applyFont="1" applyFill="1" applyBorder="1" applyAlignment="1">
      <alignment horizontal="right" readingOrder="2"/>
    </xf>
    <xf numFmtId="0" fontId="3" fillId="0" borderId="0" xfId="0" applyFont="1" applyFill="1" applyBorder="1" applyAlignment="1">
      <alignment horizontal="right" readingOrder="2"/>
    </xf>
    <xf numFmtId="167" fontId="3" fillId="0" borderId="0" xfId="0" applyNumberFormat="1" applyFont="1" applyFill="1"/>
    <xf numFmtId="0" fontId="11" fillId="5" borderId="0" xfId="0" applyFont="1" applyFill="1"/>
    <xf numFmtId="0" fontId="2" fillId="5" borderId="0" xfId="0" applyFont="1" applyFill="1"/>
    <xf numFmtId="49" fontId="2" fillId="5" borderId="0" xfId="1" applyNumberFormat="1" applyFont="1" applyFill="1" applyAlignment="1">
      <alignment horizontal="right" readingOrder="2"/>
    </xf>
    <xf numFmtId="165" fontId="2" fillId="5" borderId="0" xfId="1" applyNumberFormat="1" applyFont="1" applyFill="1" applyBorder="1"/>
    <xf numFmtId="0" fontId="2" fillId="14" borderId="0" xfId="0" applyFont="1" applyFill="1" applyAlignment="1">
      <alignment horizontal="right"/>
    </xf>
    <xf numFmtId="0" fontId="2" fillId="14" borderId="0" xfId="0" applyFont="1" applyFill="1"/>
    <xf numFmtId="165" fontId="2" fillId="14" borderId="0" xfId="1" applyNumberFormat="1" applyFont="1" applyFill="1" applyBorder="1"/>
    <xf numFmtId="3" fontId="3" fillId="14" borderId="0" xfId="0" applyNumberFormat="1" applyFont="1" applyFill="1"/>
    <xf numFmtId="0" fontId="2" fillId="15" borderId="0" xfId="0" applyFont="1" applyFill="1"/>
    <xf numFmtId="0" fontId="2" fillId="6" borderId="0" xfId="0" applyFont="1" applyFill="1"/>
    <xf numFmtId="165" fontId="2" fillId="6" borderId="0" xfId="1" applyNumberFormat="1" applyFont="1" applyFill="1"/>
    <xf numFmtId="165" fontId="5" fillId="6" borderId="0" xfId="1" applyNumberFormat="1" applyFont="1" applyFill="1"/>
    <xf numFmtId="49" fontId="2" fillId="6" borderId="0" xfId="1" applyNumberFormat="1" applyFont="1" applyFill="1" applyAlignment="1">
      <alignment horizontal="right" readingOrder="2"/>
    </xf>
    <xf numFmtId="165" fontId="2" fillId="6" borderId="0" xfId="1" applyNumberFormat="1" applyFont="1" applyFill="1" applyBorder="1"/>
    <xf numFmtId="170" fontId="3" fillId="14" borderId="0" xfId="1" applyNumberFormat="1" applyFont="1" applyFill="1"/>
    <xf numFmtId="0" fontId="2" fillId="5" borderId="0" xfId="0" applyFont="1" applyFill="1" applyAlignment="1">
      <alignment horizontal="right" readingOrder="2"/>
    </xf>
    <xf numFmtId="165" fontId="5" fillId="5" borderId="0" xfId="1" applyNumberFormat="1" applyFont="1" applyFill="1"/>
    <xf numFmtId="167" fontId="3" fillId="14" borderId="0" xfId="1" applyNumberFormat="1" applyFont="1" applyFill="1"/>
    <xf numFmtId="165" fontId="2" fillId="14" borderId="0" xfId="0" applyNumberFormat="1" applyFont="1" applyFill="1"/>
    <xf numFmtId="169" fontId="3" fillId="14" borderId="0" xfId="0" applyNumberFormat="1" applyFont="1" applyFill="1"/>
    <xf numFmtId="0" fontId="13" fillId="2" borderId="0" xfId="0" applyFont="1" applyFill="1"/>
    <xf numFmtId="0" fontId="13" fillId="2" borderId="0" xfId="0" applyFont="1" applyFill="1" applyAlignment="1">
      <alignment horizontal="right"/>
    </xf>
    <xf numFmtId="165" fontId="13" fillId="14" borderId="0" xfId="1" applyNumberFormat="1" applyFont="1" applyFill="1" applyBorder="1"/>
    <xf numFmtId="165" fontId="13" fillId="14" borderId="0" xfId="1" applyNumberFormat="1" applyFont="1" applyFill="1"/>
    <xf numFmtId="49" fontId="3" fillId="11" borderId="0" xfId="1" applyNumberFormat="1" applyFont="1" applyFill="1" applyAlignment="1">
      <alignment horizontal="right" readingOrder="2"/>
    </xf>
    <xf numFmtId="165" fontId="2" fillId="11" borderId="0" xfId="1" applyNumberFormat="1" applyFont="1" applyFill="1" applyBorder="1"/>
    <xf numFmtId="49" fontId="3" fillId="8" borderId="0" xfId="1" applyNumberFormat="1" applyFont="1" applyFill="1" applyAlignment="1">
      <alignment horizontal="right" readingOrder="2"/>
    </xf>
    <xf numFmtId="165" fontId="2" fillId="8" borderId="0" xfId="1" applyNumberFormat="1" applyFont="1" applyFill="1" applyBorder="1"/>
    <xf numFmtId="0" fontId="2" fillId="19" borderId="0" xfId="0" applyFont="1" applyFill="1"/>
    <xf numFmtId="0" fontId="3" fillId="19" borderId="0" xfId="0" applyFont="1" applyFill="1"/>
    <xf numFmtId="165" fontId="2" fillId="19" borderId="0" xfId="1" applyNumberFormat="1" applyFont="1" applyFill="1"/>
    <xf numFmtId="165" fontId="4" fillId="8" borderId="0" xfId="1" applyNumberFormat="1" applyFont="1" applyFill="1"/>
    <xf numFmtId="3" fontId="3" fillId="15" borderId="0" xfId="0" applyNumberFormat="1" applyFont="1" applyFill="1"/>
    <xf numFmtId="3" fontId="2" fillId="14" borderId="0" xfId="0" applyNumberFormat="1" applyFont="1" applyFill="1"/>
    <xf numFmtId="3" fontId="2" fillId="5" borderId="0" xfId="0" applyNumberFormat="1" applyFont="1" applyFill="1"/>
    <xf numFmtId="0" fontId="5" fillId="0" borderId="0" xfId="0" applyFont="1" applyFill="1"/>
    <xf numFmtId="171" fontId="3" fillId="0" borderId="0" xfId="0" applyNumberFormat="1" applyFont="1" applyFill="1"/>
    <xf numFmtId="0" fontId="13" fillId="0" borderId="0" xfId="0" applyFont="1" applyFill="1"/>
    <xf numFmtId="165" fontId="3" fillId="20" borderId="0" xfId="1" applyNumberFormat="1" applyFont="1" applyFill="1" applyBorder="1"/>
    <xf numFmtId="0" fontId="0" fillId="20" borderId="0" xfId="0" applyFill="1"/>
    <xf numFmtId="0" fontId="7" fillId="20" borderId="0" xfId="0" applyFont="1" applyFill="1"/>
    <xf numFmtId="0" fontId="3" fillId="20" borderId="0" xfId="0" applyFont="1" applyFill="1"/>
    <xf numFmtId="165" fontId="3" fillId="20" borderId="0" xfId="1" applyNumberFormat="1" applyFont="1" applyFill="1"/>
    <xf numFmtId="165" fontId="3" fillId="19" borderId="0" xfId="1" applyNumberFormat="1" applyFont="1" applyFill="1"/>
    <xf numFmtId="0" fontId="14" fillId="0" borderId="0" xfId="0" applyFont="1" applyFill="1" applyBorder="1"/>
    <xf numFmtId="165" fontId="2" fillId="2" borderId="0" xfId="1" applyNumberFormat="1" applyFont="1" applyFill="1" applyBorder="1"/>
    <xf numFmtId="165" fontId="2" fillId="17" borderId="0" xfId="1" applyNumberFormat="1" applyFont="1" applyFill="1" applyBorder="1"/>
    <xf numFmtId="0" fontId="2" fillId="17" borderId="0" xfId="0" applyFont="1" applyFill="1"/>
    <xf numFmtId="49" fontId="3" fillId="16" borderId="0" xfId="1" applyNumberFormat="1" applyFont="1" applyFill="1" applyAlignment="1">
      <alignment horizontal="right" readingOrder="2"/>
    </xf>
    <xf numFmtId="165" fontId="2" fillId="16" borderId="0" xfId="1" applyNumberFormat="1" applyFont="1" applyFill="1" applyBorder="1"/>
    <xf numFmtId="0" fontId="2" fillId="16" borderId="0" xfId="0" applyFont="1" applyFill="1"/>
    <xf numFmtId="165" fontId="2" fillId="18" borderId="0" xfId="1" applyNumberFormat="1" applyFont="1" applyFill="1" applyBorder="1"/>
    <xf numFmtId="165" fontId="13" fillId="18" borderId="0" xfId="1" applyNumberFormat="1" applyFont="1" applyFill="1"/>
    <xf numFmtId="165" fontId="13" fillId="18" borderId="0" xfId="1" applyNumberFormat="1" applyFont="1" applyFill="1" applyBorder="1"/>
    <xf numFmtId="3" fontId="3" fillId="18" borderId="0" xfId="0" applyNumberFormat="1" applyFont="1" applyFill="1"/>
    <xf numFmtId="3" fontId="3" fillId="16" borderId="0" xfId="0" applyNumberFormat="1" applyFont="1" applyFill="1"/>
    <xf numFmtId="165" fontId="2" fillId="18" borderId="0" xfId="1" applyNumberFormat="1" applyFont="1" applyFill="1" applyBorder="1" applyAlignment="1">
      <alignment horizontal="right" readingOrder="2"/>
    </xf>
    <xf numFmtId="167" fontId="3" fillId="18" borderId="0" xfId="0" applyNumberFormat="1" applyFont="1" applyFill="1"/>
    <xf numFmtId="167" fontId="3" fillId="18" borderId="0" xfId="1" applyNumberFormat="1" applyFont="1" applyFill="1"/>
    <xf numFmtId="0" fontId="3" fillId="18" borderId="0" xfId="0" applyFont="1" applyFill="1" applyAlignment="1">
      <alignment horizontal="right" readingOrder="2"/>
    </xf>
    <xf numFmtId="0" fontId="0" fillId="18" borderId="0" xfId="0" applyFill="1"/>
    <xf numFmtId="49" fontId="2" fillId="16" borderId="0" xfId="1" applyNumberFormat="1" applyFont="1" applyFill="1" applyAlignment="1">
      <alignment horizontal="right" readingOrder="2"/>
    </xf>
    <xf numFmtId="0" fontId="3" fillId="21" borderId="0" xfId="0" applyFont="1" applyFill="1"/>
    <xf numFmtId="165" fontId="2" fillId="21" borderId="0" xfId="1" applyNumberFormat="1" applyFont="1" applyFill="1"/>
    <xf numFmtId="0" fontId="2" fillId="21" borderId="0" xfId="0" applyFont="1" applyFill="1"/>
    <xf numFmtId="165" fontId="2" fillId="21" borderId="0" xfId="1" applyNumberFormat="1" applyFont="1" applyFill="1" applyBorder="1"/>
    <xf numFmtId="165" fontId="3" fillId="21" borderId="0" xfId="1" applyNumberFormat="1" applyFont="1" applyFill="1"/>
    <xf numFmtId="49" fontId="3" fillId="21" borderId="0" xfId="1" applyNumberFormat="1" applyFont="1" applyFill="1" applyAlignment="1">
      <alignment horizontal="right" readingOrder="2"/>
    </xf>
    <xf numFmtId="0" fontId="3" fillId="21" borderId="0" xfId="0" applyFont="1" applyFill="1" applyAlignment="1">
      <alignment horizontal="right" readingOrder="2"/>
    </xf>
    <xf numFmtId="165" fontId="2" fillId="22" borderId="0" xfId="1" applyNumberFormat="1" applyFont="1" applyFill="1" applyBorder="1"/>
    <xf numFmtId="165" fontId="2" fillId="22" borderId="0" xfId="1" applyNumberFormat="1" applyFont="1" applyFill="1"/>
    <xf numFmtId="0" fontId="2" fillId="22" borderId="0" xfId="0" applyFont="1" applyFill="1"/>
    <xf numFmtId="165" fontId="2" fillId="9" borderId="0" xfId="1" applyNumberFormat="1" applyFont="1" applyFill="1" applyBorder="1"/>
    <xf numFmtId="0" fontId="2" fillId="9" borderId="0" xfId="0" applyFont="1" applyFill="1"/>
    <xf numFmtId="165" fontId="5" fillId="9" borderId="0" xfId="1" applyNumberFormat="1" applyFont="1" applyFill="1"/>
    <xf numFmtId="49" fontId="2" fillId="9" borderId="0" xfId="1" applyNumberFormat="1" applyFont="1" applyFill="1" applyAlignment="1">
      <alignment horizontal="right" readingOrder="2"/>
    </xf>
    <xf numFmtId="165" fontId="5" fillId="22" borderId="0" xfId="1" applyNumberFormat="1" applyFont="1" applyFill="1"/>
    <xf numFmtId="49" fontId="2" fillId="22" borderId="0" xfId="1" applyNumberFormat="1" applyFont="1" applyFill="1" applyAlignment="1">
      <alignment horizontal="right" readingOrder="2"/>
    </xf>
    <xf numFmtId="0" fontId="2" fillId="12" borderId="0" xfId="0" applyFont="1" applyFill="1"/>
    <xf numFmtId="165" fontId="2" fillId="12" borderId="0" xfId="1" applyNumberFormat="1" applyFont="1" applyFill="1" applyBorder="1"/>
    <xf numFmtId="165" fontId="5" fillId="7" borderId="0" xfId="1" applyNumberFormat="1" applyFont="1" applyFill="1"/>
    <xf numFmtId="49" fontId="2" fillId="7" borderId="0" xfId="1" applyNumberFormat="1" applyFont="1" applyFill="1" applyAlignment="1">
      <alignment horizontal="right" readingOrder="2"/>
    </xf>
    <xf numFmtId="165" fontId="2" fillId="7" borderId="0" xfId="1" applyNumberFormat="1" applyFont="1" applyFill="1" applyBorder="1"/>
    <xf numFmtId="165" fontId="3" fillId="12" borderId="0" xfId="1" applyNumberFormat="1" applyFont="1" applyFill="1"/>
    <xf numFmtId="49" fontId="3" fillId="12" borderId="0" xfId="1" applyNumberFormat="1" applyFont="1" applyFill="1" applyAlignment="1">
      <alignment horizontal="right" readingOrder="2"/>
    </xf>
    <xf numFmtId="165" fontId="3" fillId="12" borderId="0" xfId="1" applyNumberFormat="1" applyFont="1" applyFill="1" applyBorder="1"/>
    <xf numFmtId="0" fontId="3" fillId="23" borderId="0" xfId="0" applyFont="1" applyFill="1"/>
    <xf numFmtId="165" fontId="3" fillId="23" borderId="0" xfId="1" applyNumberFormat="1" applyFont="1" applyFill="1"/>
    <xf numFmtId="0" fontId="2" fillId="23" borderId="0" xfId="0" applyFont="1" applyFill="1"/>
    <xf numFmtId="165" fontId="3" fillId="19" borderId="0" xfId="1" applyNumberFormat="1" applyFont="1" applyFill="1" applyBorder="1"/>
    <xf numFmtId="0" fontId="2" fillId="24" borderId="0" xfId="0" applyFont="1" applyFill="1"/>
    <xf numFmtId="0" fontId="3" fillId="24" borderId="0" xfId="0" applyFont="1" applyFill="1"/>
    <xf numFmtId="165" fontId="3" fillId="24" borderId="0" xfId="1" applyNumberFormat="1" applyFont="1" applyFill="1"/>
    <xf numFmtId="49" fontId="3" fillId="24" borderId="0" xfId="1" applyNumberFormat="1" applyFont="1" applyFill="1" applyAlignment="1">
      <alignment horizontal="right" readingOrder="2"/>
    </xf>
    <xf numFmtId="165" fontId="2" fillId="24" borderId="0" xfId="1" applyNumberFormat="1" applyFont="1" applyFill="1"/>
    <xf numFmtId="165" fontId="3" fillId="24" borderId="0" xfId="1" applyNumberFormat="1" applyFont="1" applyFill="1" applyBorder="1"/>
    <xf numFmtId="165" fontId="2" fillId="24" borderId="0" xfId="1" applyNumberFormat="1" applyFont="1" applyFill="1" applyBorder="1"/>
    <xf numFmtId="165" fontId="2" fillId="25" borderId="0" xfId="1" applyNumberFormat="1" applyFont="1" applyFill="1" applyBorder="1"/>
    <xf numFmtId="165" fontId="2" fillId="25" borderId="0" xfId="1" applyNumberFormat="1" applyFont="1" applyFill="1"/>
    <xf numFmtId="0" fontId="2" fillId="25" borderId="0" xfId="0" applyFont="1" applyFill="1"/>
    <xf numFmtId="49" fontId="2" fillId="25" borderId="0" xfId="1" applyNumberFormat="1" applyFont="1" applyFill="1" applyAlignment="1">
      <alignment horizontal="right" readingOrder="2"/>
    </xf>
    <xf numFmtId="165" fontId="2" fillId="26" borderId="0" xfId="1" applyNumberFormat="1" applyFont="1" applyFill="1"/>
    <xf numFmtId="0" fontId="2" fillId="26" borderId="0" xfId="0" applyFont="1" applyFill="1"/>
    <xf numFmtId="165" fontId="2" fillId="26" borderId="0" xfId="1" applyNumberFormat="1" applyFont="1" applyFill="1" applyBorder="1"/>
    <xf numFmtId="0" fontId="3" fillId="26" borderId="0" xfId="0" applyFont="1" applyFill="1"/>
    <xf numFmtId="165" fontId="3" fillId="26" borderId="0" xfId="1" applyNumberFormat="1" applyFont="1" applyFill="1"/>
    <xf numFmtId="49" fontId="3" fillId="26" borderId="0" xfId="1" applyNumberFormat="1" applyFont="1" applyFill="1" applyAlignment="1">
      <alignment horizontal="right" readingOrder="2"/>
    </xf>
    <xf numFmtId="165" fontId="2" fillId="26" borderId="0" xfId="1" applyNumberFormat="1" applyFont="1" applyFill="1" applyAlignment="1">
      <alignment horizontal="right" readingOrder="2"/>
    </xf>
    <xf numFmtId="43" fontId="2" fillId="26" borderId="0" xfId="0" applyNumberFormat="1" applyFont="1" applyFill="1"/>
    <xf numFmtId="165" fontId="5" fillId="17" borderId="0" xfId="1" applyNumberFormat="1" applyFont="1" applyFill="1"/>
    <xf numFmtId="49" fontId="2" fillId="17" borderId="0" xfId="1" applyNumberFormat="1" applyFont="1" applyFill="1" applyAlignment="1">
      <alignment horizontal="right" readingOrder="2"/>
    </xf>
    <xf numFmtId="3" fontId="3" fillId="15" borderId="0" xfId="0" applyNumberFormat="1" applyFont="1" applyFill="1" applyAlignment="1">
      <alignment horizontal="right"/>
    </xf>
    <xf numFmtId="0" fontId="3" fillId="15" borderId="0" xfId="0" applyFont="1" applyFill="1" applyAlignment="1">
      <alignment horizontal="right"/>
    </xf>
    <xf numFmtId="0" fontId="2" fillId="13" borderId="0" xfId="0" applyFont="1" applyFill="1"/>
    <xf numFmtId="165" fontId="3" fillId="13" borderId="0" xfId="1" applyNumberFormat="1" applyFont="1" applyFill="1" applyBorder="1"/>
    <xf numFmtId="165" fontId="3" fillId="13" borderId="0" xfId="1" applyNumberFormat="1" applyFont="1" applyFill="1"/>
    <xf numFmtId="0" fontId="2" fillId="20" borderId="0" xfId="0" applyFont="1" applyFill="1"/>
    <xf numFmtId="165" fontId="2" fillId="20" borderId="0" xfId="1" applyNumberFormat="1" applyFont="1" applyFill="1"/>
    <xf numFmtId="1" fontId="3" fillId="20" borderId="0" xfId="0" applyNumberFormat="1" applyFont="1" applyFill="1"/>
    <xf numFmtId="165" fontId="3" fillId="23" borderId="0" xfId="1" applyNumberFormat="1" applyFont="1" applyFill="1" applyBorder="1"/>
    <xf numFmtId="0" fontId="2" fillId="27" borderId="0" xfId="0" applyFont="1" applyFill="1"/>
    <xf numFmtId="165" fontId="2" fillId="27" borderId="0" xfId="1" applyNumberFormat="1" applyFont="1" applyFill="1"/>
    <xf numFmtId="165" fontId="3" fillId="27" borderId="0" xfId="1" applyNumberFormat="1" applyFont="1" applyFill="1" applyBorder="1"/>
    <xf numFmtId="165" fontId="3" fillId="27" borderId="0" xfId="1" applyNumberFormat="1" applyFont="1" applyFill="1"/>
    <xf numFmtId="168" fontId="3" fillId="27" borderId="0" xfId="0" applyNumberFormat="1" applyFont="1" applyFill="1"/>
    <xf numFmtId="0" fontId="3" fillId="27" borderId="0" xfId="0" applyFont="1" applyFill="1"/>
    <xf numFmtId="0" fontId="6" fillId="28" borderId="0" xfId="0" applyFont="1" applyFill="1" applyBorder="1" applyAlignment="1">
      <alignment horizontal="right" wrapText="1"/>
    </xf>
    <xf numFmtId="165" fontId="3" fillId="28" borderId="0" xfId="1" applyNumberFormat="1" applyFont="1" applyFill="1"/>
    <xf numFmtId="165" fontId="13" fillId="28" borderId="0" xfId="1" applyNumberFormat="1" applyFont="1" applyFill="1"/>
    <xf numFmtId="0" fontId="3" fillId="28" borderId="0" xfId="0" applyFont="1" applyFill="1"/>
    <xf numFmtId="165" fontId="3" fillId="29" borderId="0" xfId="1" applyNumberFormat="1" applyFont="1" applyFill="1"/>
    <xf numFmtId="0" fontId="3" fillId="29" borderId="0" xfId="0" applyFont="1" applyFill="1"/>
    <xf numFmtId="0" fontId="0" fillId="29" borderId="0" xfId="0" applyFill="1"/>
    <xf numFmtId="0" fontId="9" fillId="29" borderId="0" xfId="0" applyFont="1" applyFill="1"/>
    <xf numFmtId="165" fontId="2" fillId="29" borderId="0" xfId="1" applyNumberFormat="1" applyFont="1" applyFill="1"/>
    <xf numFmtId="0" fontId="2" fillId="29" borderId="0" xfId="0" applyFont="1" applyFill="1"/>
    <xf numFmtId="165" fontId="3" fillId="29" borderId="0" xfId="1" applyNumberFormat="1" applyFont="1" applyFill="1" applyBorder="1"/>
    <xf numFmtId="0" fontId="0" fillId="0" borderId="1" xfId="0" applyFill="1" applyBorder="1"/>
    <xf numFmtId="0" fontId="7" fillId="0" borderId="1" xfId="0" applyFont="1" applyFill="1" applyBorder="1"/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0" fillId="0" borderId="0" xfId="0" applyFill="1" applyAlignment="1">
      <alignment horizontal="center"/>
    </xf>
    <xf numFmtId="1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8" fillId="0" borderId="0" xfId="0" applyFont="1" applyFill="1" applyAlignment="1">
      <alignment horizontal="left"/>
    </xf>
    <xf numFmtId="0" fontId="0" fillId="8" borderId="0" xfId="0" applyFill="1"/>
    <xf numFmtId="0" fontId="7" fillId="19" borderId="0" xfId="0" applyFont="1" applyFill="1"/>
    <xf numFmtId="0" fontId="0" fillId="19" borderId="0" xfId="0" applyFill="1"/>
    <xf numFmtId="0" fontId="7" fillId="8" borderId="0" xfId="0" applyFont="1" applyFill="1"/>
    <xf numFmtId="0" fontId="9" fillId="19" borderId="0" xfId="0" applyFont="1" applyFill="1"/>
    <xf numFmtId="165" fontId="13" fillId="2" borderId="0" xfId="0" applyNumberFormat="1" applyFont="1" applyFill="1"/>
    <xf numFmtId="165" fontId="15" fillId="15" borderId="0" xfId="1" applyNumberFormat="1" applyFont="1" applyFill="1" applyBorder="1"/>
    <xf numFmtId="173" fontId="12" fillId="2" borderId="0" xfId="1" applyNumberFormat="1" applyFont="1" applyFill="1"/>
    <xf numFmtId="0" fontId="7" fillId="0" borderId="0" xfId="0" applyFont="1" applyFill="1"/>
    <xf numFmtId="0" fontId="0" fillId="13" borderId="0" xfId="0" applyFill="1"/>
    <xf numFmtId="0" fontId="7" fillId="13" borderId="0" xfId="0" applyFont="1" applyFill="1"/>
    <xf numFmtId="0" fontId="14" fillId="13" borderId="0" xfId="0" applyFont="1" applyFill="1" applyBorder="1"/>
    <xf numFmtId="173" fontId="0" fillId="0" borderId="0" xfId="0" applyNumberFormat="1"/>
    <xf numFmtId="172" fontId="2" fillId="6" borderId="0" xfId="1" applyNumberFormat="1" applyFont="1" applyFill="1"/>
    <xf numFmtId="0" fontId="9" fillId="0" borderId="0" xfId="0" applyFont="1"/>
    <xf numFmtId="165" fontId="2" fillId="2" borderId="0" xfId="0" applyNumberFormat="1" applyFont="1" applyFill="1"/>
    <xf numFmtId="41" fontId="2" fillId="0" borderId="0" xfId="0" applyNumberFormat="1" applyFont="1" applyFill="1" applyBorder="1"/>
    <xf numFmtId="0" fontId="9" fillId="0" borderId="1" xfId="0" applyFont="1" applyFill="1" applyBorder="1"/>
    <xf numFmtId="0" fontId="9" fillId="0" borderId="0" xfId="0" applyFont="1" applyFill="1"/>
    <xf numFmtId="1" fontId="9" fillId="0" borderId="0" xfId="0" applyNumberFormat="1" applyFont="1" applyFill="1"/>
    <xf numFmtId="41" fontId="3" fillId="20" borderId="0" xfId="0" applyNumberFormat="1" applyFont="1" applyFill="1" applyBorder="1"/>
    <xf numFmtId="0" fontId="16" fillId="20" borderId="0" xfId="0" applyFont="1" applyFill="1"/>
    <xf numFmtId="0" fontId="17" fillId="20" borderId="0" xfId="0" applyFont="1" applyFill="1"/>
    <xf numFmtId="0" fontId="11" fillId="20" borderId="2" xfId="0" applyFont="1" applyFill="1" applyBorder="1"/>
    <xf numFmtId="165" fontId="3" fillId="20" borderId="2" xfId="1" applyNumberFormat="1" applyFont="1" applyFill="1" applyBorder="1"/>
    <xf numFmtId="0" fontId="10" fillId="20" borderId="2" xfId="0" applyFont="1" applyFill="1" applyBorder="1"/>
    <xf numFmtId="173" fontId="7" fillId="20" borderId="2" xfId="1" applyNumberFormat="1" applyFont="1" applyFill="1" applyBorder="1"/>
    <xf numFmtId="1" fontId="0" fillId="20" borderId="2" xfId="0" applyNumberFormat="1" applyFill="1" applyBorder="1"/>
    <xf numFmtId="165" fontId="3" fillId="26" borderId="0" xfId="1" applyNumberFormat="1" applyFont="1" applyFill="1" applyBorder="1"/>
    <xf numFmtId="0" fontId="2" fillId="20" borderId="2" xfId="0" applyFont="1" applyFill="1" applyBorder="1"/>
    <xf numFmtId="165" fontId="2" fillId="20" borderId="2" xfId="1" applyNumberFormat="1" applyFont="1" applyFill="1" applyBorder="1" applyAlignment="1">
      <alignment horizontal="right" wrapText="1"/>
    </xf>
    <xf numFmtId="0" fontId="16" fillId="20" borderId="0" xfId="0" applyFont="1" applyFill="1" applyAlignment="1">
      <alignment horizontal="right"/>
    </xf>
    <xf numFmtId="165" fontId="20" fillId="6" borderId="0" xfId="1" applyNumberFormat="1" applyFont="1" applyFill="1" applyAlignment="1">
      <alignment horizontal="left" readingOrder="2"/>
    </xf>
    <xf numFmtId="165" fontId="2" fillId="20" borderId="2" xfId="1" applyNumberFormat="1" applyFont="1" applyFill="1" applyBorder="1" applyAlignment="1">
      <alignment horizontal="right"/>
    </xf>
    <xf numFmtId="165" fontId="3" fillId="2" borderId="0" xfId="0" applyNumberFormat="1" applyFont="1" applyFill="1"/>
    <xf numFmtId="175" fontId="3" fillId="14" borderId="0" xfId="1" applyNumberFormat="1" applyFont="1" applyFill="1"/>
    <xf numFmtId="167" fontId="3" fillId="3" borderId="0" xfId="0" applyNumberFormat="1" applyFont="1" applyFill="1" applyBorder="1"/>
    <xf numFmtId="167" fontId="3" fillId="3" borderId="0" xfId="1" applyNumberFormat="1" applyFont="1" applyFill="1" applyBorder="1"/>
    <xf numFmtId="165" fontId="2" fillId="19" borderId="0" xfId="1" applyNumberFormat="1" applyFont="1" applyFill="1" applyBorder="1"/>
    <xf numFmtId="170" fontId="3" fillId="19" borderId="0" xfId="1" applyNumberFormat="1" applyFont="1" applyFill="1" applyAlignment="1">
      <alignment horizontal="right"/>
    </xf>
    <xf numFmtId="170" fontId="3" fillId="19" borderId="0" xfId="1" applyNumberFormat="1" applyFont="1" applyFill="1"/>
    <xf numFmtId="49" fontId="3" fillId="19" borderId="0" xfId="1" applyNumberFormat="1" applyFont="1" applyFill="1" applyAlignment="1">
      <alignment horizontal="right" readingOrder="2"/>
    </xf>
    <xf numFmtId="0" fontId="3" fillId="27" borderId="0" xfId="0" applyFont="1" applyFill="1" applyAlignment="1">
      <alignment horizontal="right" readingOrder="2"/>
    </xf>
    <xf numFmtId="165" fontId="3" fillId="27" borderId="0" xfId="1" applyNumberFormat="1" applyFont="1" applyFill="1" applyAlignment="1">
      <alignment horizontal="right" readingOrder="2"/>
    </xf>
    <xf numFmtId="0" fontId="2" fillId="4" borderId="0" xfId="0" applyFont="1" applyFill="1" applyBorder="1" applyAlignment="1">
      <alignment horizontal="right"/>
    </xf>
    <xf numFmtId="174" fontId="2" fillId="20" borderId="2" xfId="1" applyNumberFormat="1" applyFont="1" applyFill="1" applyBorder="1"/>
    <xf numFmtId="0" fontId="2" fillId="20" borderId="2" xfId="0" applyFont="1" applyFill="1" applyBorder="1" applyAlignment="1">
      <alignment wrapText="1"/>
    </xf>
    <xf numFmtId="165" fontId="3" fillId="14" borderId="0" xfId="0" applyNumberFormat="1" applyFont="1" applyFill="1"/>
    <xf numFmtId="174" fontId="2" fillId="20" borderId="0" xfId="1" applyNumberFormat="1" applyFont="1" applyFill="1" applyBorder="1"/>
    <xf numFmtId="0" fontId="10" fillId="30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9" fillId="0" borderId="3" xfId="0" applyFont="1" applyBorder="1"/>
    <xf numFmtId="0" fontId="2" fillId="0" borderId="3" xfId="0" applyFont="1" applyFill="1" applyBorder="1"/>
    <xf numFmtId="166" fontId="3" fillId="4" borderId="3" xfId="1" applyNumberFormat="1" applyFont="1" applyFill="1" applyBorder="1"/>
    <xf numFmtId="165" fontId="2" fillId="3" borderId="3" xfId="1" applyNumberFormat="1" applyFont="1" applyFill="1" applyBorder="1"/>
    <xf numFmtId="165" fontId="3" fillId="3" borderId="3" xfId="1" applyNumberFormat="1" applyFont="1" applyFill="1" applyBorder="1"/>
    <xf numFmtId="165" fontId="2" fillId="0" borderId="3" xfId="1" applyNumberFormat="1" applyFont="1" applyFill="1" applyBorder="1"/>
    <xf numFmtId="171" fontId="2" fillId="0" borderId="3" xfId="0" applyNumberFormat="1" applyFont="1" applyFill="1" applyBorder="1"/>
    <xf numFmtId="165" fontId="3" fillId="4" borderId="3" xfId="1" applyNumberFormat="1" applyFont="1" applyFill="1" applyBorder="1"/>
    <xf numFmtId="165" fontId="3" fillId="0" borderId="3" xfId="1" applyNumberFormat="1" applyFont="1" applyBorder="1"/>
    <xf numFmtId="0" fontId="2" fillId="5" borderId="3" xfId="0" applyFont="1" applyFill="1" applyBorder="1"/>
    <xf numFmtId="165" fontId="2" fillId="14" borderId="3" xfId="1" applyNumberFormat="1" applyFont="1" applyFill="1" applyBorder="1"/>
    <xf numFmtId="165" fontId="3" fillId="14" borderId="3" xfId="1" applyNumberFormat="1" applyFont="1" applyFill="1" applyBorder="1"/>
    <xf numFmtId="0" fontId="2" fillId="14" borderId="3" xfId="0" applyFont="1" applyFill="1" applyBorder="1"/>
    <xf numFmtId="0" fontId="3" fillId="14" borderId="3" xfId="0" applyFont="1" applyFill="1" applyBorder="1"/>
    <xf numFmtId="3" fontId="3" fillId="0" borderId="3" xfId="0" applyNumberFormat="1" applyFont="1" applyBorder="1"/>
    <xf numFmtId="165" fontId="2" fillId="6" borderId="3" xfId="1" applyNumberFormat="1" applyFont="1" applyFill="1" applyBorder="1"/>
    <xf numFmtId="165" fontId="2" fillId="5" borderId="3" xfId="1" applyNumberFormat="1" applyFont="1" applyFill="1" applyBorder="1"/>
    <xf numFmtId="0" fontId="2" fillId="11" borderId="3" xfId="0" applyFont="1" applyFill="1" applyBorder="1"/>
    <xf numFmtId="49" fontId="3" fillId="14" borderId="3" xfId="1" applyNumberFormat="1" applyFont="1" applyFill="1" applyBorder="1" applyAlignment="1">
      <alignment horizontal="right" readingOrder="2"/>
    </xf>
    <xf numFmtId="3" fontId="3" fillId="14" borderId="3" xfId="0" applyNumberFormat="1" applyFont="1" applyFill="1" applyBorder="1"/>
    <xf numFmtId="165" fontId="2" fillId="8" borderId="3" xfId="1" applyNumberFormat="1" applyFont="1" applyFill="1" applyBorder="1"/>
    <xf numFmtId="165" fontId="2" fillId="19" borderId="3" xfId="1" applyNumberFormat="1" applyFont="1" applyFill="1" applyBorder="1"/>
    <xf numFmtId="165" fontId="3" fillId="19" borderId="3" xfId="1" applyNumberFormat="1" applyFont="1" applyFill="1" applyBorder="1"/>
    <xf numFmtId="165" fontId="2" fillId="16" borderId="3" xfId="1" applyNumberFormat="1" applyFont="1" applyFill="1" applyBorder="1"/>
    <xf numFmtId="165" fontId="3" fillId="18" borderId="3" xfId="1" applyNumberFormat="1" applyFont="1" applyFill="1" applyBorder="1"/>
    <xf numFmtId="165" fontId="2" fillId="18" borderId="3" xfId="1" applyNumberFormat="1" applyFont="1" applyFill="1" applyBorder="1"/>
    <xf numFmtId="3" fontId="3" fillId="16" borderId="3" xfId="0" applyNumberFormat="1" applyFont="1" applyFill="1" applyBorder="1"/>
    <xf numFmtId="3" fontId="3" fillId="18" borderId="3" xfId="0" applyNumberFormat="1" applyFont="1" applyFill="1" applyBorder="1"/>
    <xf numFmtId="165" fontId="9" fillId="0" borderId="3" xfId="0" applyNumberFormat="1" applyFont="1" applyFill="1" applyBorder="1"/>
    <xf numFmtId="165" fontId="2" fillId="22" borderId="3" xfId="1" applyNumberFormat="1" applyFont="1" applyFill="1" applyBorder="1"/>
    <xf numFmtId="165" fontId="2" fillId="21" borderId="3" xfId="1" applyNumberFormat="1" applyFont="1" applyFill="1" applyBorder="1"/>
    <xf numFmtId="165" fontId="3" fillId="21" borderId="3" xfId="1" applyNumberFormat="1" applyFont="1" applyFill="1" applyBorder="1"/>
    <xf numFmtId="165" fontId="2" fillId="9" borderId="3" xfId="1" applyNumberFormat="1" applyFont="1" applyFill="1" applyBorder="1"/>
    <xf numFmtId="165" fontId="2" fillId="2" borderId="3" xfId="1" applyNumberFormat="1" applyFont="1" applyFill="1" applyBorder="1"/>
    <xf numFmtId="165" fontId="3" fillId="2" borderId="3" xfId="1" applyNumberFormat="1" applyFont="1" applyFill="1" applyBorder="1"/>
    <xf numFmtId="165" fontId="2" fillId="7" borderId="3" xfId="1" applyNumberFormat="1" applyFont="1" applyFill="1" applyBorder="1"/>
    <xf numFmtId="165" fontId="2" fillId="12" borderId="3" xfId="1" applyNumberFormat="1" applyFont="1" applyFill="1" applyBorder="1"/>
    <xf numFmtId="165" fontId="3" fillId="12" borderId="3" xfId="1" applyNumberFormat="1" applyFont="1" applyFill="1" applyBorder="1"/>
    <xf numFmtId="0" fontId="3" fillId="12" borderId="3" xfId="0" applyFont="1" applyFill="1" applyBorder="1"/>
    <xf numFmtId="165" fontId="2" fillId="25" borderId="3" xfId="1" applyNumberFormat="1" applyFont="1" applyFill="1" applyBorder="1"/>
    <xf numFmtId="165" fontId="2" fillId="24" borderId="3" xfId="1" applyNumberFormat="1" applyFont="1" applyFill="1" applyBorder="1"/>
    <xf numFmtId="165" fontId="3" fillId="24" borderId="3" xfId="1" applyNumberFormat="1" applyFont="1" applyFill="1" applyBorder="1"/>
    <xf numFmtId="165" fontId="2" fillId="17" borderId="3" xfId="1" applyNumberFormat="1" applyFont="1" applyFill="1" applyBorder="1"/>
    <xf numFmtId="165" fontId="2" fillId="26" borderId="3" xfId="1" applyNumberFormat="1" applyFont="1" applyFill="1" applyBorder="1"/>
    <xf numFmtId="165" fontId="3" fillId="26" borderId="3" xfId="1" applyNumberFormat="1" applyFont="1" applyFill="1" applyBorder="1"/>
    <xf numFmtId="165" fontId="3" fillId="8" borderId="3" xfId="1" applyNumberFormat="1" applyFont="1" applyFill="1" applyBorder="1"/>
    <xf numFmtId="165" fontId="2" fillId="15" borderId="3" xfId="1" applyNumberFormat="1" applyFont="1" applyFill="1" applyBorder="1"/>
    <xf numFmtId="165" fontId="3" fillId="15" borderId="3" xfId="1" applyNumberFormat="1" applyFont="1" applyFill="1" applyBorder="1"/>
    <xf numFmtId="0" fontId="2" fillId="0" borderId="3" xfId="0" applyFont="1" applyBorder="1"/>
    <xf numFmtId="0" fontId="2" fillId="13" borderId="3" xfId="0" applyFont="1" applyFill="1" applyBorder="1"/>
    <xf numFmtId="165" fontId="2" fillId="20" borderId="3" xfId="1" applyNumberFormat="1" applyFont="1" applyFill="1" applyBorder="1"/>
    <xf numFmtId="1" fontId="3" fillId="20" borderId="3" xfId="0" applyNumberFormat="1" applyFont="1" applyFill="1" applyBorder="1"/>
    <xf numFmtId="165" fontId="2" fillId="23" borderId="3" xfId="1" applyNumberFormat="1" applyFont="1" applyFill="1" applyBorder="1"/>
    <xf numFmtId="165" fontId="2" fillId="27" borderId="3" xfId="1" applyNumberFormat="1" applyFont="1" applyFill="1" applyBorder="1"/>
    <xf numFmtId="0" fontId="3" fillId="27" borderId="3" xfId="0" applyFont="1" applyFill="1" applyBorder="1"/>
    <xf numFmtId="165" fontId="3" fillId="27" borderId="3" xfId="1" applyNumberFormat="1" applyFont="1" applyFill="1" applyBorder="1"/>
    <xf numFmtId="0" fontId="3" fillId="27" borderId="3" xfId="0" applyNumberFormat="1" applyFont="1" applyFill="1" applyBorder="1"/>
    <xf numFmtId="41" fontId="2" fillId="0" borderId="3" xfId="0" applyNumberFormat="1" applyFont="1" applyFill="1" applyBorder="1"/>
    <xf numFmtId="165" fontId="3" fillId="28" borderId="3" xfId="1" applyNumberFormat="1" applyFont="1" applyFill="1" applyBorder="1"/>
    <xf numFmtId="165" fontId="2" fillId="29" borderId="3" xfId="1" applyNumberFormat="1" applyFont="1" applyFill="1" applyBorder="1"/>
    <xf numFmtId="165" fontId="3" fillId="29" borderId="3" xfId="1" applyNumberFormat="1" applyFont="1" applyFill="1" applyBorder="1"/>
    <xf numFmtId="165" fontId="2" fillId="10" borderId="3" xfId="1" applyNumberFormat="1" applyFont="1" applyFill="1" applyBorder="1"/>
    <xf numFmtId="165" fontId="3" fillId="20" borderId="3" xfId="1" applyNumberFormat="1" applyFont="1" applyFill="1" applyBorder="1"/>
    <xf numFmtId="0" fontId="9" fillId="8" borderId="3" xfId="0" applyFont="1" applyFill="1" applyBorder="1"/>
    <xf numFmtId="41" fontId="2" fillId="13" borderId="3" xfId="0" applyNumberFormat="1" applyFont="1" applyFill="1" applyBorder="1"/>
    <xf numFmtId="41" fontId="3" fillId="20" borderId="3" xfId="0" applyNumberFormat="1" applyFont="1" applyFill="1" applyBorder="1"/>
    <xf numFmtId="166" fontId="3" fillId="4" borderId="4" xfId="1" applyNumberFormat="1" applyFont="1" applyFill="1" applyBorder="1"/>
    <xf numFmtId="165" fontId="2" fillId="20" borderId="5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DD3EF"/>
      <color rgb="FFFFD5FF"/>
      <color rgb="FF29EF4A"/>
      <color rgb="FFBEE395"/>
      <color rgb="FFFF2592"/>
      <color rgb="FFFF93C9"/>
      <color rgb="FF0000FF"/>
      <color rgb="FFC8FDB9"/>
      <color rgb="FF5DD5FF"/>
      <color rgb="FFFDC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298"/>
  <sheetViews>
    <sheetView rightToLeft="1" tabSelected="1" topLeftCell="A130" workbookViewId="0">
      <selection activeCell="F11" sqref="F11"/>
    </sheetView>
  </sheetViews>
  <sheetFormatPr defaultRowHeight="14.25" x14ac:dyDescent="0.2"/>
  <cols>
    <col min="1" max="1" width="22.75" customWidth="1"/>
    <col min="2" max="2" width="22.625" customWidth="1"/>
    <col min="3" max="3" width="20.375" customWidth="1"/>
    <col min="4" max="4" width="18.125" customWidth="1"/>
    <col min="5" max="5" width="21.625" customWidth="1"/>
    <col min="6" max="6" width="20" style="249" customWidth="1"/>
    <col min="7" max="7" width="25.25" customWidth="1"/>
    <col min="8" max="8" width="19.25" customWidth="1"/>
    <col min="9" max="9" width="12.125" customWidth="1"/>
    <col min="10" max="11" width="12.875" customWidth="1"/>
    <col min="12" max="12" width="11.25" customWidth="1"/>
  </cols>
  <sheetData>
    <row r="1" spans="1:14" s="129" customFormat="1" ht="48" x14ac:dyDescent="0.3">
      <c r="A1" s="258" t="s">
        <v>158</v>
      </c>
      <c r="B1" s="264" t="s">
        <v>180</v>
      </c>
      <c r="C1" s="281" t="s">
        <v>220</v>
      </c>
      <c r="D1" s="281"/>
      <c r="E1" s="265" t="s">
        <v>191</v>
      </c>
      <c r="F1" s="268" t="s">
        <v>181</v>
      </c>
      <c r="H1" s="128"/>
      <c r="I1" s="128"/>
    </row>
    <row r="2" spans="1:14" s="129" customFormat="1" ht="15.75" x14ac:dyDescent="0.25">
      <c r="A2" s="260">
        <v>2015</v>
      </c>
      <c r="B2" s="261">
        <f>C7</f>
        <v>5061119.4399999995</v>
      </c>
      <c r="C2" s="262">
        <f>5315804.952-496500</f>
        <v>4819304.9519999996</v>
      </c>
      <c r="D2" s="262"/>
      <c r="E2" s="259">
        <f>C2-B2</f>
        <v>-241814.4879999999</v>
      </c>
      <c r="F2" s="280">
        <f>E2+345000</f>
        <v>103185.5120000001</v>
      </c>
      <c r="G2" s="259"/>
    </row>
    <row r="3" spans="1:14" s="129" customFormat="1" ht="15.75" x14ac:dyDescent="0.25">
      <c r="A3" s="284" t="s">
        <v>225</v>
      </c>
      <c r="B3" s="285"/>
      <c r="C3" s="285"/>
      <c r="D3" s="285"/>
      <c r="E3" s="128"/>
      <c r="F3" s="283"/>
      <c r="G3" s="128"/>
    </row>
    <row r="4" spans="1:14" x14ac:dyDescent="0.2">
      <c r="A4" s="286"/>
      <c r="B4" s="286"/>
      <c r="C4" s="286"/>
      <c r="D4" s="286"/>
      <c r="E4" s="247"/>
    </row>
    <row r="5" spans="1:14" s="2" customFormat="1" ht="15.75" x14ac:dyDescent="0.25">
      <c r="A5" s="286"/>
      <c r="B5" s="286"/>
      <c r="C5" s="286"/>
      <c r="D5" s="286"/>
      <c r="E5" s="267" t="s">
        <v>118</v>
      </c>
      <c r="F5" s="248">
        <v>4</v>
      </c>
      <c r="G5"/>
      <c r="H5"/>
      <c r="I5" s="4"/>
      <c r="J5" s="3"/>
      <c r="K5" s="4"/>
      <c r="L5" s="3"/>
      <c r="M5" s="4"/>
      <c r="N5" s="3"/>
    </row>
    <row r="6" spans="1:14" s="2" customFormat="1" ht="18.75" x14ac:dyDescent="0.3">
      <c r="A6" s="41" t="s">
        <v>5</v>
      </c>
      <c r="B6" s="19"/>
      <c r="C6" s="40" t="s">
        <v>153</v>
      </c>
      <c r="D6" s="40"/>
      <c r="E6" s="40"/>
      <c r="F6" s="40"/>
      <c r="G6" s="40"/>
      <c r="H6" s="40"/>
      <c r="I6" s="40"/>
      <c r="J6" s="111"/>
      <c r="K6" s="110"/>
      <c r="L6" s="110"/>
      <c r="M6" s="4"/>
      <c r="N6" s="3"/>
    </row>
    <row r="7" spans="1:14" s="2" customFormat="1" ht="15.75" x14ac:dyDescent="0.25">
      <c r="A7" s="14"/>
      <c r="B7" s="19"/>
      <c r="C7" s="35">
        <f>F280+F274+F266+F262+F248+F236+F231+F219+F203+F197+F181+F174+F165+F155+F147+F141+F134+F125+F111+F104+F93+F84+F69+F63+F52+F33+F28+F22+F21+F17</f>
        <v>5061119.4399999995</v>
      </c>
      <c r="D7" s="35"/>
      <c r="E7" s="242"/>
      <c r="F7" s="250"/>
      <c r="G7" s="269"/>
      <c r="H7" s="40"/>
      <c r="I7" s="40"/>
      <c r="J7" s="240"/>
      <c r="K7" s="110"/>
      <c r="L7" s="110"/>
      <c r="M7" s="4"/>
      <c r="N7" s="3"/>
    </row>
    <row r="8" spans="1:14" s="16" customFormat="1" ht="15.75" x14ac:dyDescent="0.25">
      <c r="A8" s="50"/>
      <c r="B8" s="125"/>
      <c r="C8" s="125"/>
      <c r="D8" s="125"/>
      <c r="E8" s="125"/>
      <c r="F8" s="20"/>
      <c r="H8" s="126"/>
      <c r="I8" s="20"/>
      <c r="J8" s="127"/>
      <c r="K8" s="127"/>
      <c r="L8" s="127"/>
      <c r="M8" s="23"/>
      <c r="N8" s="22"/>
    </row>
    <row r="9" spans="1:14" s="2" customFormat="1" ht="19.5" thickBot="1" x14ac:dyDescent="0.35">
      <c r="A9" s="69" t="s">
        <v>143</v>
      </c>
      <c r="B9" s="16"/>
      <c r="C9" s="16"/>
      <c r="D9" s="16"/>
      <c r="E9" s="16"/>
      <c r="F9" s="16"/>
      <c r="I9" s="4"/>
      <c r="J9" s="3"/>
      <c r="K9" s="4"/>
      <c r="L9" s="3"/>
      <c r="M9" s="4"/>
      <c r="N9" s="3"/>
    </row>
    <row r="10" spans="1:14" s="11" customFormat="1" ht="15.75" x14ac:dyDescent="0.25">
      <c r="A10" s="70" t="s">
        <v>212</v>
      </c>
      <c r="B10" s="279" t="s">
        <v>213</v>
      </c>
      <c r="C10" s="70" t="s">
        <v>203</v>
      </c>
      <c r="D10" s="70" t="s">
        <v>204</v>
      </c>
      <c r="F10" s="353"/>
      <c r="G10" s="67"/>
      <c r="H10" s="51"/>
      <c r="I10" s="67"/>
      <c r="J10" s="47"/>
      <c r="K10" s="67"/>
      <c r="L10" s="47"/>
      <c r="M10" s="67"/>
      <c r="N10" s="47"/>
    </row>
    <row r="11" spans="1:14" s="59" customFormat="1" ht="15.75" x14ac:dyDescent="0.25">
      <c r="A11" s="57"/>
      <c r="B11" s="57" t="s">
        <v>184</v>
      </c>
      <c r="C11" s="57" t="s">
        <v>1</v>
      </c>
      <c r="D11" s="57" t="s">
        <v>221</v>
      </c>
      <c r="E11" s="58" t="s">
        <v>222</v>
      </c>
      <c r="F11" s="290" t="s">
        <v>208</v>
      </c>
      <c r="G11" s="58" t="s">
        <v>2</v>
      </c>
      <c r="H11" s="58"/>
      <c r="I11" s="58"/>
      <c r="J11" s="58"/>
      <c r="N11" s="12"/>
    </row>
    <row r="12" spans="1:14" s="56" customFormat="1" ht="15.75" x14ac:dyDescent="0.25">
      <c r="A12" s="52">
        <v>744</v>
      </c>
      <c r="B12" s="52">
        <v>7.5</v>
      </c>
      <c r="C12" s="52">
        <v>160</v>
      </c>
      <c r="D12" s="52">
        <f>C12*B12*A12</f>
        <v>892800</v>
      </c>
      <c r="E12" s="56">
        <v>936000</v>
      </c>
      <c r="F12" s="291">
        <f>D12</f>
        <v>892800</v>
      </c>
      <c r="G12" s="60" t="s">
        <v>195</v>
      </c>
      <c r="H12" s="54"/>
      <c r="I12" s="54"/>
      <c r="J12" s="54"/>
      <c r="N12" s="55"/>
    </row>
    <row r="13" spans="1:14" s="56" customFormat="1" ht="15.75" x14ac:dyDescent="0.25">
      <c r="A13" s="52">
        <f>744*1.18</f>
        <v>877.92</v>
      </c>
      <c r="B13" s="52">
        <v>6</v>
      </c>
      <c r="C13" s="52">
        <v>11</v>
      </c>
      <c r="D13" s="52">
        <f>C13*B13*A13</f>
        <v>57942.719999999994</v>
      </c>
      <c r="E13" s="56">
        <v>60746.400000000001</v>
      </c>
      <c r="F13" s="291">
        <f>D13</f>
        <v>57942.719999999994</v>
      </c>
      <c r="G13" s="61" t="s">
        <v>196</v>
      </c>
      <c r="H13" s="54"/>
      <c r="I13" s="54"/>
      <c r="J13" s="54"/>
      <c r="N13" s="55"/>
    </row>
    <row r="14" spans="1:14" s="56" customFormat="1" ht="15.75" x14ac:dyDescent="0.25">
      <c r="A14" s="52">
        <v>624</v>
      </c>
      <c r="B14" s="52">
        <v>7.5</v>
      </c>
      <c r="C14" s="52">
        <v>60</v>
      </c>
      <c r="D14" s="52">
        <f>C14*B14*A14</f>
        <v>280800</v>
      </c>
      <c r="E14" s="56">
        <v>307800</v>
      </c>
      <c r="F14" s="291">
        <f>D14</f>
        <v>280800</v>
      </c>
      <c r="G14" s="60" t="s">
        <v>197</v>
      </c>
      <c r="H14" s="54"/>
      <c r="I14" s="54"/>
      <c r="J14" s="54"/>
      <c r="N14" s="55"/>
    </row>
    <row r="15" spans="1:14" s="56" customFormat="1" ht="15.75" x14ac:dyDescent="0.25">
      <c r="A15" s="52">
        <f>624*0.5*1.18</f>
        <v>368.15999999999997</v>
      </c>
      <c r="B15" s="52">
        <v>6</v>
      </c>
      <c r="C15" s="52">
        <v>6</v>
      </c>
      <c r="D15" s="52">
        <f>C15*B15*A15</f>
        <v>13253.759999999998</v>
      </c>
      <c r="E15" s="56">
        <v>22089.599999999999</v>
      </c>
      <c r="F15" s="291">
        <f>D15</f>
        <v>13253.759999999998</v>
      </c>
      <c r="G15" s="61" t="s">
        <v>6</v>
      </c>
      <c r="H15" s="54"/>
      <c r="I15" s="54"/>
      <c r="J15" s="54"/>
      <c r="N15" s="55"/>
    </row>
    <row r="16" spans="1:14" s="56" customFormat="1" ht="15.75" x14ac:dyDescent="0.25">
      <c r="A16" s="52">
        <v>624</v>
      </c>
      <c r="B16" s="52">
        <v>6</v>
      </c>
      <c r="C16" s="52">
        <v>18</v>
      </c>
      <c r="D16" s="52">
        <f>C16*B16*A16</f>
        <v>67392</v>
      </c>
      <c r="E16" s="54">
        <v>67392</v>
      </c>
      <c r="F16" s="291">
        <f>D16</f>
        <v>67392</v>
      </c>
      <c r="G16" s="61" t="s">
        <v>199</v>
      </c>
      <c r="H16" s="54"/>
      <c r="I16" s="54"/>
      <c r="J16" s="54"/>
      <c r="N16" s="55"/>
    </row>
    <row r="17" spans="1:14" s="56" customFormat="1" ht="15.75" x14ac:dyDescent="0.25">
      <c r="A17" s="52"/>
      <c r="B17" s="52"/>
      <c r="D17" s="57" t="s">
        <v>3</v>
      </c>
      <c r="E17" s="56">
        <f>SUM(E12:E16)</f>
        <v>1394028</v>
      </c>
      <c r="F17" s="290">
        <f>SUM(F12:F16)</f>
        <v>1312188.48</v>
      </c>
      <c r="G17" s="53" t="s">
        <v>10</v>
      </c>
      <c r="H17" s="54"/>
      <c r="I17" s="54"/>
      <c r="J17" s="54"/>
      <c r="N17" s="55"/>
    </row>
    <row r="18" spans="1:14" s="16" customFormat="1" ht="15.75" x14ac:dyDescent="0.25">
      <c r="A18" s="49"/>
      <c r="B18" s="49"/>
      <c r="E18" s="50"/>
      <c r="F18" s="292"/>
      <c r="G18" s="88"/>
      <c r="H18" s="23"/>
      <c r="I18" s="23"/>
      <c r="J18" s="23"/>
      <c r="N18" s="22"/>
    </row>
    <row r="19" spans="1:14" s="11" customFormat="1" ht="15.75" x14ac:dyDescent="0.25">
      <c r="A19" s="70" t="s">
        <v>109</v>
      </c>
      <c r="B19" s="66" t="s">
        <v>167</v>
      </c>
      <c r="C19" s="51"/>
      <c r="D19" s="51"/>
      <c r="E19" s="67"/>
      <c r="F19" s="289"/>
      <c r="G19" s="67"/>
      <c r="H19" s="51"/>
      <c r="I19" s="67"/>
      <c r="J19" s="47"/>
      <c r="K19" s="67"/>
      <c r="L19" s="47"/>
      <c r="M19" s="67"/>
      <c r="N19" s="47"/>
    </row>
    <row r="20" spans="1:14" s="56" customFormat="1" ht="15.75" x14ac:dyDescent="0.25">
      <c r="A20" s="57"/>
      <c r="B20" s="53" t="s">
        <v>214</v>
      </c>
      <c r="C20" s="52" t="s">
        <v>215</v>
      </c>
      <c r="D20" s="57" t="s">
        <v>221</v>
      </c>
      <c r="E20" s="58" t="s">
        <v>222</v>
      </c>
      <c r="F20" s="290" t="s">
        <v>208</v>
      </c>
      <c r="G20" s="54"/>
      <c r="H20" s="52"/>
      <c r="I20" s="54"/>
      <c r="J20" s="55"/>
      <c r="K20" s="54"/>
      <c r="L20" s="55"/>
      <c r="M20" s="54"/>
      <c r="N20" s="55"/>
    </row>
    <row r="21" spans="1:14" s="56" customFormat="1" ht="15.75" x14ac:dyDescent="0.25">
      <c r="A21" s="271">
        <v>300</v>
      </c>
      <c r="B21" s="52">
        <v>5</v>
      </c>
      <c r="C21" s="52">
        <v>9</v>
      </c>
      <c r="D21" s="272">
        <f>B21*A21*C21</f>
        <v>13500</v>
      </c>
      <c r="E21" s="56">
        <v>84000</v>
      </c>
      <c r="F21" s="290">
        <f>D21*$F$5</f>
        <v>54000</v>
      </c>
      <c r="G21" s="52" t="s">
        <v>218</v>
      </c>
      <c r="H21" s="54" t="s">
        <v>194</v>
      </c>
      <c r="I21" s="54"/>
      <c r="J21" s="54"/>
      <c r="N21" s="55"/>
    </row>
    <row r="22" spans="1:14" s="56" customFormat="1" ht="15.75" x14ac:dyDescent="0.25">
      <c r="A22" s="271">
        <v>300</v>
      </c>
      <c r="B22" s="52">
        <v>1</v>
      </c>
      <c r="C22" s="52">
        <v>3</v>
      </c>
      <c r="D22" s="272">
        <f>B22*A22*C22</f>
        <v>900</v>
      </c>
      <c r="F22" s="290">
        <f>D22*$F$5</f>
        <v>3600</v>
      </c>
      <c r="G22" s="52" t="s">
        <v>219</v>
      </c>
      <c r="H22" s="54"/>
      <c r="I22" s="54"/>
      <c r="J22" s="54"/>
      <c r="N22" s="55"/>
    </row>
    <row r="23" spans="1:14" s="16" customFormat="1" ht="15.75" x14ac:dyDescent="0.25">
      <c r="A23" s="49"/>
      <c r="B23" s="49"/>
      <c r="E23" s="50"/>
      <c r="F23" s="293"/>
      <c r="G23" s="88"/>
      <c r="H23" s="23"/>
      <c r="I23" s="23"/>
      <c r="J23" s="23"/>
      <c r="N23" s="22"/>
    </row>
    <row r="24" spans="1:14" s="11" customFormat="1" ht="15.75" x14ac:dyDescent="0.25">
      <c r="A24" s="71" t="s">
        <v>168</v>
      </c>
      <c r="B24" s="71"/>
      <c r="C24" s="68"/>
      <c r="D24" s="68"/>
      <c r="E24" s="47"/>
      <c r="F24" s="294"/>
      <c r="G24" s="47"/>
      <c r="H24" s="67"/>
      <c r="I24" s="47"/>
      <c r="J24" s="67"/>
      <c r="N24" s="47"/>
    </row>
    <row r="25" spans="1:14" s="56" customFormat="1" ht="15.75" x14ac:dyDescent="0.25">
      <c r="A25" s="62"/>
      <c r="B25" s="59" t="s">
        <v>0</v>
      </c>
      <c r="C25" s="59" t="s">
        <v>1</v>
      </c>
      <c r="D25" s="59"/>
      <c r="E25" s="12" t="s">
        <v>205</v>
      </c>
      <c r="F25" s="290" t="s">
        <v>208</v>
      </c>
      <c r="G25" s="12" t="s">
        <v>2</v>
      </c>
      <c r="H25" s="54"/>
      <c r="I25" s="55"/>
      <c r="J25" s="54"/>
      <c r="N25" s="55"/>
    </row>
    <row r="26" spans="1:14" s="56" customFormat="1" ht="15.75" x14ac:dyDescent="0.25">
      <c r="A26" s="56">
        <f>100*1.18</f>
        <v>118</v>
      </c>
      <c r="B26" s="56">
        <v>5</v>
      </c>
      <c r="C26" s="56">
        <v>420</v>
      </c>
      <c r="E26" s="55">
        <f>C26*B26*A26</f>
        <v>247800</v>
      </c>
      <c r="F26" s="291">
        <f>E26</f>
        <v>247800</v>
      </c>
      <c r="G26" s="79" t="s">
        <v>9</v>
      </c>
      <c r="H26" s="54"/>
      <c r="J26" s="54"/>
    </row>
    <row r="27" spans="1:14" s="56" customFormat="1" ht="15.75" x14ac:dyDescent="0.25">
      <c r="A27" s="56">
        <v>118</v>
      </c>
      <c r="B27" s="56">
        <v>5</v>
      </c>
      <c r="C27" s="56">
        <v>20</v>
      </c>
      <c r="E27" s="55">
        <f>C27*B27*A27</f>
        <v>11800</v>
      </c>
      <c r="F27" s="291">
        <f>E27</f>
        <v>11800</v>
      </c>
      <c r="G27" s="79" t="s">
        <v>169</v>
      </c>
      <c r="H27" s="54"/>
      <c r="I27" s="59"/>
      <c r="J27" s="54"/>
    </row>
    <row r="28" spans="1:14" s="56" customFormat="1" ht="15.75" x14ac:dyDescent="0.25">
      <c r="A28" s="52"/>
      <c r="B28" s="52"/>
      <c r="E28" s="57" t="s">
        <v>3</v>
      </c>
      <c r="F28" s="290">
        <f>SUM(F26:F27)</f>
        <v>259600</v>
      </c>
      <c r="G28" s="53"/>
      <c r="H28" s="54"/>
      <c r="I28" s="54"/>
      <c r="J28" s="54"/>
      <c r="N28" s="55"/>
    </row>
    <row r="29" spans="1:14" s="16" customFormat="1" ht="15.75" x14ac:dyDescent="0.25">
      <c r="C29" s="20"/>
      <c r="D29" s="20"/>
      <c r="E29" s="89"/>
      <c r="F29" s="292"/>
      <c r="G29" s="27"/>
      <c r="H29" s="23"/>
      <c r="J29" s="23"/>
    </row>
    <row r="30" spans="1:14" s="11" customFormat="1" ht="15.75" x14ac:dyDescent="0.25">
      <c r="A30" s="71" t="s">
        <v>116</v>
      </c>
      <c r="B30" s="71"/>
      <c r="C30" s="84" t="s">
        <v>155</v>
      </c>
      <c r="D30" s="84"/>
      <c r="E30" s="47"/>
      <c r="F30" s="294"/>
      <c r="G30" s="85"/>
      <c r="H30" s="67"/>
      <c r="J30" s="67"/>
    </row>
    <row r="31" spans="1:14" s="56" customFormat="1" ht="15.75" x14ac:dyDescent="0.25">
      <c r="A31" s="86"/>
      <c r="B31" s="59" t="s">
        <v>0</v>
      </c>
      <c r="C31" s="59" t="s">
        <v>1</v>
      </c>
      <c r="D31" s="59"/>
      <c r="E31" s="12" t="s">
        <v>205</v>
      </c>
      <c r="F31" s="290" t="s">
        <v>208</v>
      </c>
      <c r="G31" s="12" t="s">
        <v>2</v>
      </c>
      <c r="H31" s="54"/>
      <c r="J31" s="54"/>
    </row>
    <row r="32" spans="1:14" s="56" customFormat="1" ht="15.75" x14ac:dyDescent="0.25">
      <c r="A32" s="56">
        <f>23*1.18</f>
        <v>27.139999999999997</v>
      </c>
      <c r="B32" s="56">
        <v>4</v>
      </c>
      <c r="C32" s="56">
        <v>420</v>
      </c>
      <c r="E32" s="55">
        <f>C32*B32*A32</f>
        <v>45595.199999999997</v>
      </c>
      <c r="F32" s="291">
        <f>E32</f>
        <v>45595.199999999997</v>
      </c>
      <c r="G32" s="79" t="s">
        <v>206</v>
      </c>
      <c r="H32" s="54"/>
      <c r="J32" s="87"/>
    </row>
    <row r="33" spans="1:10" s="56" customFormat="1" ht="15.75" x14ac:dyDescent="0.25">
      <c r="E33" s="12" t="s">
        <v>3</v>
      </c>
      <c r="F33" s="290">
        <f>F32</f>
        <v>45595.199999999997</v>
      </c>
      <c r="G33" s="79"/>
      <c r="H33" s="54"/>
      <c r="J33" s="54"/>
    </row>
    <row r="34" spans="1:10" s="16" customFormat="1" ht="15.75" x14ac:dyDescent="0.25">
      <c r="E34" s="22"/>
      <c r="F34" s="292"/>
      <c r="G34" s="27"/>
      <c r="H34" s="23"/>
      <c r="J34" s="23"/>
    </row>
    <row r="35" spans="1:10" s="2" customFormat="1" ht="18.75" x14ac:dyDescent="0.3">
      <c r="A35" s="90" t="s">
        <v>144</v>
      </c>
      <c r="E35" s="3"/>
      <c r="F35" s="295"/>
      <c r="G35" s="10"/>
      <c r="H35" s="4"/>
      <c r="J35" s="4"/>
    </row>
    <row r="36" spans="1:10" s="91" customFormat="1" ht="15.75" x14ac:dyDescent="0.25">
      <c r="A36" s="91" t="s">
        <v>147</v>
      </c>
      <c r="E36" s="17"/>
      <c r="F36" s="296"/>
      <c r="G36" s="92"/>
      <c r="H36" s="93"/>
      <c r="J36" s="93"/>
    </row>
    <row r="37" spans="1:10" s="65" customFormat="1" ht="15.75" x14ac:dyDescent="0.25">
      <c r="A37" s="94"/>
      <c r="B37" s="95" t="s">
        <v>0</v>
      </c>
      <c r="C37" s="95" t="s">
        <v>1</v>
      </c>
      <c r="D37" s="95" t="s">
        <v>221</v>
      </c>
      <c r="E37" s="42" t="s">
        <v>205</v>
      </c>
      <c r="F37" s="297" t="s">
        <v>208</v>
      </c>
      <c r="G37" s="42" t="s">
        <v>2</v>
      </c>
      <c r="H37" s="63"/>
      <c r="J37" s="63"/>
    </row>
    <row r="38" spans="1:10" s="65" customFormat="1" ht="15.75" x14ac:dyDescent="0.25">
      <c r="A38" s="94"/>
      <c r="B38" s="95"/>
      <c r="C38" s="95"/>
      <c r="D38" s="65">
        <v>0</v>
      </c>
      <c r="E38" s="42"/>
      <c r="F38" s="297">
        <v>0</v>
      </c>
      <c r="G38" s="83" t="s">
        <v>14</v>
      </c>
      <c r="H38" s="63"/>
      <c r="J38" s="63"/>
    </row>
    <row r="39" spans="1:10" s="65" customFormat="1" ht="15.75" x14ac:dyDescent="0.25">
      <c r="A39" s="65">
        <f>160*1.18</f>
        <v>188.79999999999998</v>
      </c>
      <c r="B39" s="65">
        <v>1</v>
      </c>
      <c r="C39" s="65">
        <v>700</v>
      </c>
      <c r="D39" s="65">
        <v>132160</v>
      </c>
      <c r="E39" s="64">
        <f>C39*B39*A39</f>
        <v>132160</v>
      </c>
      <c r="F39" s="298">
        <f>E39</f>
        <v>132160</v>
      </c>
      <c r="G39" s="83" t="s">
        <v>110</v>
      </c>
      <c r="H39" s="63"/>
      <c r="J39" s="63"/>
    </row>
    <row r="40" spans="1:10" s="65" customFormat="1" ht="15.75" x14ac:dyDescent="0.25">
      <c r="B40" s="65">
        <v>1</v>
      </c>
      <c r="C40" s="65">
        <v>1</v>
      </c>
      <c r="D40" s="65">
        <v>70800</v>
      </c>
      <c r="E40" s="64">
        <f>70000*1.18</f>
        <v>82600</v>
      </c>
      <c r="F40" s="298">
        <f>60000*1.18</f>
        <v>70800</v>
      </c>
      <c r="G40" s="83" t="s">
        <v>12</v>
      </c>
      <c r="H40" s="63"/>
      <c r="J40" s="63"/>
    </row>
    <row r="41" spans="1:10" s="65" customFormat="1" ht="15.75" x14ac:dyDescent="0.25">
      <c r="B41" s="65">
        <v>1</v>
      </c>
      <c r="C41" s="65">
        <v>1</v>
      </c>
      <c r="D41" s="65">
        <v>10000</v>
      </c>
      <c r="E41" s="64">
        <v>10000</v>
      </c>
      <c r="F41" s="298">
        <v>10000</v>
      </c>
      <c r="G41" s="83" t="s">
        <v>81</v>
      </c>
      <c r="H41" s="63"/>
      <c r="J41" s="63"/>
    </row>
    <row r="42" spans="1:10" s="65" customFormat="1" ht="15.75" x14ac:dyDescent="0.25">
      <c r="B42" s="65">
        <v>1</v>
      </c>
      <c r="C42" s="65">
        <v>1</v>
      </c>
      <c r="D42" s="65">
        <v>7500</v>
      </c>
      <c r="E42" s="64">
        <v>7500</v>
      </c>
      <c r="F42" s="298">
        <v>7500</v>
      </c>
      <c r="G42" s="83" t="s">
        <v>82</v>
      </c>
      <c r="H42" s="63"/>
      <c r="J42" s="63"/>
    </row>
    <row r="43" spans="1:10" s="65" customFormat="1" ht="15.75" x14ac:dyDescent="0.25">
      <c r="D43" s="65">
        <v>10000</v>
      </c>
      <c r="E43" s="64">
        <v>10000</v>
      </c>
      <c r="F43" s="298">
        <v>10000</v>
      </c>
      <c r="G43" s="83" t="s">
        <v>86</v>
      </c>
      <c r="H43" s="63"/>
      <c r="J43" s="63"/>
    </row>
    <row r="44" spans="1:10" s="65" customFormat="1" ht="15.75" x14ac:dyDescent="0.25">
      <c r="D44" s="65">
        <v>30000</v>
      </c>
      <c r="E44" s="64">
        <v>30000</v>
      </c>
      <c r="F44" s="298">
        <v>30000</v>
      </c>
      <c r="G44" s="83" t="s">
        <v>87</v>
      </c>
      <c r="H44" s="63"/>
      <c r="J44" s="63"/>
    </row>
    <row r="45" spans="1:10" s="65" customFormat="1" ht="15.75" x14ac:dyDescent="0.25">
      <c r="B45" s="65">
        <v>1</v>
      </c>
      <c r="C45" s="65">
        <v>1</v>
      </c>
      <c r="D45" s="65">
        <v>196647</v>
      </c>
      <c r="E45" s="64">
        <f>216650*1.18</f>
        <v>255647</v>
      </c>
      <c r="F45" s="298">
        <f>E45-59000</f>
        <v>196647</v>
      </c>
      <c r="G45" s="83" t="s">
        <v>177</v>
      </c>
      <c r="H45" s="63"/>
      <c r="J45" s="63"/>
    </row>
    <row r="46" spans="1:10" s="65" customFormat="1" ht="15.75" x14ac:dyDescent="0.25">
      <c r="B46" s="65">
        <v>1</v>
      </c>
      <c r="C46" s="65">
        <v>1</v>
      </c>
      <c r="D46" s="65">
        <v>96000</v>
      </c>
      <c r="E46" s="64">
        <v>96000</v>
      </c>
      <c r="F46" s="298">
        <f>E46</f>
        <v>96000</v>
      </c>
      <c r="G46" s="83" t="s">
        <v>178</v>
      </c>
      <c r="H46" s="63"/>
      <c r="J46" s="112"/>
    </row>
    <row r="47" spans="1:10" s="65" customFormat="1" ht="15.75" x14ac:dyDescent="0.25">
      <c r="A47" s="65">
        <v>80</v>
      </c>
      <c r="B47" s="65">
        <v>4</v>
      </c>
      <c r="C47" s="65">
        <v>6</v>
      </c>
      <c r="D47" s="65">
        <v>1920</v>
      </c>
      <c r="E47" s="64">
        <f>A47*B47*C47</f>
        <v>1920</v>
      </c>
      <c r="F47" s="298">
        <f>E47</f>
        <v>1920</v>
      </c>
      <c r="G47" s="83" t="s">
        <v>120</v>
      </c>
      <c r="H47" s="63"/>
      <c r="J47" s="63"/>
    </row>
    <row r="48" spans="1:10" s="65" customFormat="1" ht="15.75" x14ac:dyDescent="0.25">
      <c r="C48" s="65">
        <v>1</v>
      </c>
      <c r="D48" s="65">
        <v>9000</v>
      </c>
      <c r="E48" s="64">
        <v>9000</v>
      </c>
      <c r="F48" s="298">
        <f>E48</f>
        <v>9000</v>
      </c>
      <c r="G48" s="83" t="s">
        <v>149</v>
      </c>
      <c r="H48" s="63"/>
      <c r="J48" s="63"/>
    </row>
    <row r="49" spans="1:15" s="65" customFormat="1" ht="15.75" x14ac:dyDescent="0.25">
      <c r="D49" s="65">
        <v>8400</v>
      </c>
      <c r="E49" s="64">
        <v>8400</v>
      </c>
      <c r="F49" s="298">
        <f>E49</f>
        <v>8400</v>
      </c>
      <c r="G49" s="83" t="s">
        <v>117</v>
      </c>
      <c r="H49" s="63"/>
      <c r="J49" s="63"/>
    </row>
    <row r="50" spans="1:15" s="65" customFormat="1" ht="15.75" x14ac:dyDescent="0.25">
      <c r="B50" s="65">
        <v>1</v>
      </c>
      <c r="C50" s="65">
        <v>1</v>
      </c>
      <c r="D50" s="65">
        <v>3000</v>
      </c>
      <c r="E50" s="64">
        <v>3000</v>
      </c>
      <c r="F50" s="298">
        <f>E50</f>
        <v>3000</v>
      </c>
      <c r="G50" s="83" t="s">
        <v>13</v>
      </c>
      <c r="H50" s="63"/>
      <c r="J50" s="63"/>
    </row>
    <row r="51" spans="1:15" s="65" customFormat="1" ht="15.75" x14ac:dyDescent="0.25">
      <c r="D51" s="65">
        <v>7000</v>
      </c>
      <c r="E51" s="64">
        <v>7000</v>
      </c>
      <c r="F51" s="298">
        <f>E51</f>
        <v>7000</v>
      </c>
      <c r="G51" s="83" t="s">
        <v>15</v>
      </c>
      <c r="H51" s="63"/>
      <c r="J51" s="63"/>
    </row>
    <row r="52" spans="1:15" s="65" customFormat="1" ht="15.75" x14ac:dyDescent="0.25">
      <c r="D52" s="95" t="s">
        <v>3</v>
      </c>
      <c r="E52" s="282">
        <f>SUM(E39:E51)</f>
        <v>653227</v>
      </c>
      <c r="F52" s="297">
        <f>SUM(F39:F51)</f>
        <v>582427</v>
      </c>
      <c r="G52" s="83"/>
      <c r="H52" s="63"/>
      <c r="J52" s="63"/>
    </row>
    <row r="53" spans="1:15" s="16" customFormat="1" ht="15.75" x14ac:dyDescent="0.25">
      <c r="C53" s="20"/>
      <c r="D53" s="20"/>
      <c r="E53" s="20"/>
      <c r="F53" s="292"/>
      <c r="G53" s="27"/>
      <c r="H53" s="23"/>
      <c r="J53" s="23"/>
    </row>
    <row r="54" spans="1:15" s="91" customFormat="1" ht="15.75" x14ac:dyDescent="0.25">
      <c r="A54" s="91" t="s">
        <v>174</v>
      </c>
      <c r="E54" s="17"/>
      <c r="F54" s="296"/>
      <c r="G54" s="92"/>
      <c r="H54" s="93"/>
      <c r="J54" s="93"/>
    </row>
    <row r="55" spans="1:15" s="95" customFormat="1" ht="15.75" x14ac:dyDescent="0.25">
      <c r="B55" s="95" t="s">
        <v>0</v>
      </c>
      <c r="C55" s="95" t="s">
        <v>1</v>
      </c>
      <c r="E55" s="95" t="s">
        <v>205</v>
      </c>
      <c r="F55" s="299" t="s">
        <v>208</v>
      </c>
      <c r="G55" s="95" t="s">
        <v>2</v>
      </c>
    </row>
    <row r="56" spans="1:15" s="65" customFormat="1" ht="15.75" x14ac:dyDescent="0.25">
      <c r="C56" s="65">
        <v>1</v>
      </c>
      <c r="E56" s="104">
        <v>4000</v>
      </c>
      <c r="F56" s="300">
        <v>0</v>
      </c>
      <c r="G56" s="65" t="s">
        <v>16</v>
      </c>
    </row>
    <row r="57" spans="1:15" s="65" customFormat="1" ht="15.75" x14ac:dyDescent="0.25">
      <c r="C57" s="65">
        <v>1</v>
      </c>
      <c r="E57" s="65">
        <v>5000</v>
      </c>
      <c r="F57" s="300">
        <v>5000</v>
      </c>
      <c r="G57" s="65" t="s">
        <v>83</v>
      </c>
    </row>
    <row r="58" spans="1:15" s="65" customFormat="1" ht="15.75" x14ac:dyDescent="0.25">
      <c r="C58" s="65">
        <v>1</v>
      </c>
      <c r="F58" s="300"/>
      <c r="G58" s="65" t="s">
        <v>84</v>
      </c>
    </row>
    <row r="59" spans="1:15" s="65" customFormat="1" ht="15.75" x14ac:dyDescent="0.25">
      <c r="C59" s="65">
        <v>1</v>
      </c>
      <c r="E59" s="65">
        <v>2500</v>
      </c>
      <c r="F59" s="300">
        <v>2500</v>
      </c>
      <c r="G59" s="65" t="s">
        <v>85</v>
      </c>
    </row>
    <row r="60" spans="1:15" s="65" customFormat="1" ht="15.75" x14ac:dyDescent="0.25">
      <c r="E60" s="65">
        <v>8000</v>
      </c>
      <c r="F60" s="300">
        <v>8000</v>
      </c>
      <c r="G60" s="65" t="s">
        <v>104</v>
      </c>
    </row>
    <row r="61" spans="1:15" s="65" customFormat="1" ht="15.75" x14ac:dyDescent="0.25">
      <c r="A61" s="270">
        <v>10</v>
      </c>
      <c r="B61" s="65">
        <v>1</v>
      </c>
      <c r="C61" s="65">
        <v>400</v>
      </c>
      <c r="E61" s="270">
        <f>C61*B61*A61</f>
        <v>4000</v>
      </c>
      <c r="F61" s="300">
        <f>E61</f>
        <v>4000</v>
      </c>
      <c r="G61" s="65" t="s">
        <v>179</v>
      </c>
    </row>
    <row r="62" spans="1:15" s="65" customFormat="1" ht="15.75" x14ac:dyDescent="0.25">
      <c r="C62" s="65">
        <v>1</v>
      </c>
      <c r="E62" s="65">
        <v>2000</v>
      </c>
      <c r="F62" s="300">
        <v>2000</v>
      </c>
      <c r="G62" s="65" t="s">
        <v>171</v>
      </c>
    </row>
    <row r="63" spans="1:15" s="65" customFormat="1" ht="15.75" x14ac:dyDescent="0.25">
      <c r="E63" s="95" t="s">
        <v>3</v>
      </c>
      <c r="F63" s="299">
        <f>SUM(F56:F62)</f>
        <v>21500</v>
      </c>
    </row>
    <row r="64" spans="1:15" s="1" customFormat="1" ht="15.75" x14ac:dyDescent="0.25">
      <c r="E64" s="8"/>
      <c r="F64" s="301"/>
      <c r="G64" s="10"/>
      <c r="H64" s="6"/>
      <c r="I64" s="5"/>
      <c r="J64" s="6"/>
      <c r="N64" s="5"/>
      <c r="O64" s="2"/>
    </row>
    <row r="65" spans="1:15" s="91" customFormat="1" ht="15.75" x14ac:dyDescent="0.25">
      <c r="A65" s="91" t="s">
        <v>173</v>
      </c>
      <c r="F65" s="296"/>
    </row>
    <row r="66" spans="1:15" s="95" customFormat="1" ht="15.75" x14ac:dyDescent="0.25">
      <c r="B66" s="95" t="s">
        <v>0</v>
      </c>
      <c r="C66" s="95" t="s">
        <v>1</v>
      </c>
      <c r="E66" s="95" t="s">
        <v>205</v>
      </c>
      <c r="F66" s="299" t="s">
        <v>208</v>
      </c>
      <c r="G66" s="95" t="s">
        <v>2</v>
      </c>
    </row>
    <row r="67" spans="1:15" s="65" customFormat="1" ht="15.75" x14ac:dyDescent="0.25">
      <c r="A67" s="65">
        <v>150</v>
      </c>
      <c r="B67" s="65">
        <v>1</v>
      </c>
      <c r="C67" s="65">
        <v>420</v>
      </c>
      <c r="E67" s="65">
        <f>C67*B67*A67</f>
        <v>63000</v>
      </c>
      <c r="F67" s="300">
        <f>E67</f>
        <v>63000</v>
      </c>
      <c r="G67" s="65" t="s">
        <v>207</v>
      </c>
    </row>
    <row r="68" spans="1:15" s="65" customFormat="1" ht="15.75" x14ac:dyDescent="0.25">
      <c r="E68" s="65">
        <v>2000</v>
      </c>
      <c r="F68" s="300">
        <v>2000</v>
      </c>
      <c r="G68" s="65" t="s">
        <v>105</v>
      </c>
    </row>
    <row r="69" spans="1:15" s="65" customFormat="1" ht="15.75" x14ac:dyDescent="0.25">
      <c r="E69" s="95" t="s">
        <v>3</v>
      </c>
      <c r="F69" s="299">
        <f>SUM(F67:F68)</f>
        <v>65000</v>
      </c>
    </row>
    <row r="70" spans="1:15" s="1" customFormat="1" ht="15.75" x14ac:dyDescent="0.25">
      <c r="E70" s="15"/>
      <c r="F70" s="295"/>
      <c r="H70" s="6"/>
      <c r="I70" s="5"/>
      <c r="J70" s="6"/>
      <c r="N70" s="5"/>
      <c r="O70" s="2"/>
    </row>
    <row r="71" spans="1:15" s="99" customFormat="1" ht="15.75" x14ac:dyDescent="0.25">
      <c r="A71" s="99" t="s">
        <v>172</v>
      </c>
      <c r="E71" s="101"/>
      <c r="F71" s="302"/>
      <c r="G71" s="102"/>
      <c r="H71" s="103"/>
      <c r="I71" s="100"/>
      <c r="J71" s="103"/>
      <c r="N71" s="100"/>
    </row>
    <row r="72" spans="1:15" s="65" customFormat="1" ht="15.75" x14ac:dyDescent="0.25">
      <c r="A72" s="95"/>
      <c r="B72" s="95" t="s">
        <v>0</v>
      </c>
      <c r="C72" s="95" t="s">
        <v>1</v>
      </c>
      <c r="D72" s="95"/>
      <c r="E72" s="42" t="s">
        <v>205</v>
      </c>
      <c r="F72" s="297" t="s">
        <v>208</v>
      </c>
      <c r="G72" s="42" t="s">
        <v>2</v>
      </c>
      <c r="H72" s="63"/>
      <c r="J72" s="63"/>
    </row>
    <row r="73" spans="1:15" s="95" customFormat="1" ht="15.75" x14ac:dyDescent="0.25">
      <c r="B73" s="65">
        <v>1</v>
      </c>
      <c r="C73" s="65">
        <v>1</v>
      </c>
      <c r="D73" s="65"/>
      <c r="E73" s="104">
        <v>4000</v>
      </c>
      <c r="F73" s="298"/>
      <c r="G73" s="83" t="s">
        <v>16</v>
      </c>
      <c r="H73" s="96"/>
      <c r="I73" s="42"/>
      <c r="J73" s="96"/>
      <c r="N73" s="42"/>
      <c r="O73" s="65"/>
    </row>
    <row r="74" spans="1:15" s="95" customFormat="1" ht="15.75" x14ac:dyDescent="0.25">
      <c r="B74" s="65"/>
      <c r="C74" s="65"/>
      <c r="D74" s="65"/>
      <c r="E74" s="64"/>
      <c r="F74" s="298"/>
      <c r="G74" s="83" t="s">
        <v>91</v>
      </c>
      <c r="H74" s="96"/>
      <c r="I74" s="42"/>
      <c r="J74" s="96"/>
      <c r="N74" s="42"/>
      <c r="O74" s="65"/>
    </row>
    <row r="75" spans="1:15" s="95" customFormat="1" ht="15.75" x14ac:dyDescent="0.25">
      <c r="B75" s="65"/>
      <c r="C75" s="65"/>
      <c r="D75" s="65"/>
      <c r="E75" s="64">
        <v>0</v>
      </c>
      <c r="F75" s="298">
        <v>0</v>
      </c>
      <c r="G75" s="83" t="s">
        <v>115</v>
      </c>
      <c r="H75" s="96"/>
      <c r="I75" s="113"/>
      <c r="J75" s="96"/>
      <c r="N75" s="42"/>
      <c r="O75" s="65"/>
    </row>
    <row r="76" spans="1:15" s="95" customFormat="1" ht="15.75" x14ac:dyDescent="0.25">
      <c r="B76" s="65">
        <v>1</v>
      </c>
      <c r="C76" s="65">
        <v>1</v>
      </c>
      <c r="D76" s="65"/>
      <c r="E76" s="64">
        <v>7000</v>
      </c>
      <c r="F76" s="298">
        <v>7000</v>
      </c>
      <c r="G76" s="83" t="s">
        <v>15</v>
      </c>
      <c r="H76" s="96"/>
      <c r="I76" s="42"/>
      <c r="J76" s="96"/>
      <c r="N76" s="42"/>
      <c r="O76" s="65"/>
    </row>
    <row r="77" spans="1:15" s="95" customFormat="1" ht="15.75" x14ac:dyDescent="0.25">
      <c r="A77" s="65">
        <v>56</v>
      </c>
      <c r="B77" s="65">
        <v>1</v>
      </c>
      <c r="C77" s="65">
        <v>400</v>
      </c>
      <c r="D77" s="65"/>
      <c r="E77" s="65">
        <f>C77*B77*A77</f>
        <v>22400</v>
      </c>
      <c r="F77" s="298">
        <f>E77</f>
        <v>22400</v>
      </c>
      <c r="G77" s="83" t="s">
        <v>111</v>
      </c>
      <c r="H77" s="96"/>
      <c r="I77" s="42"/>
      <c r="J77" s="96"/>
      <c r="N77" s="42"/>
      <c r="O77" s="65"/>
    </row>
    <row r="78" spans="1:15" s="95" customFormat="1" ht="15.75" x14ac:dyDescent="0.25">
      <c r="A78" s="65">
        <v>300</v>
      </c>
      <c r="B78" s="65">
        <v>1</v>
      </c>
      <c r="C78" s="65">
        <v>33</v>
      </c>
      <c r="D78" s="65"/>
      <c r="E78" s="64">
        <f>A78*B78*C78</f>
        <v>9900</v>
      </c>
      <c r="F78" s="298">
        <f>E78</f>
        <v>9900</v>
      </c>
      <c r="G78" s="83" t="s">
        <v>107</v>
      </c>
      <c r="H78" s="96"/>
      <c r="I78" s="42"/>
      <c r="J78" s="96"/>
      <c r="N78" s="42"/>
      <c r="O78" s="65"/>
    </row>
    <row r="79" spans="1:15" s="95" customFormat="1" ht="15.75" x14ac:dyDescent="0.25">
      <c r="A79" s="65"/>
      <c r="B79" s="65"/>
      <c r="C79" s="65"/>
      <c r="D79" s="65"/>
      <c r="F79" s="298"/>
      <c r="G79" s="83" t="s">
        <v>92</v>
      </c>
      <c r="H79" s="63"/>
      <c r="I79" s="113"/>
      <c r="J79" s="96"/>
      <c r="N79" s="42"/>
      <c r="O79" s="65"/>
    </row>
    <row r="80" spans="1:15" s="95" customFormat="1" ht="15.75" x14ac:dyDescent="0.25">
      <c r="A80" s="65"/>
      <c r="B80" s="65"/>
      <c r="C80" s="65"/>
      <c r="D80" s="65"/>
      <c r="E80" s="64">
        <v>10000</v>
      </c>
      <c r="F80" s="298">
        <v>10000</v>
      </c>
      <c r="G80" s="83" t="s">
        <v>88</v>
      </c>
      <c r="H80" s="63"/>
      <c r="I80" s="113"/>
      <c r="J80" s="96"/>
      <c r="N80" s="42"/>
      <c r="O80" s="65"/>
    </row>
    <row r="81" spans="1:16" s="95" customFormat="1" ht="15.75" x14ac:dyDescent="0.25">
      <c r="A81" s="65"/>
      <c r="B81" s="65"/>
      <c r="C81" s="65"/>
      <c r="D81" s="65"/>
      <c r="E81" s="64">
        <v>5000</v>
      </c>
      <c r="F81" s="298">
        <v>2000</v>
      </c>
      <c r="G81" s="83" t="s">
        <v>89</v>
      </c>
      <c r="H81" s="63"/>
      <c r="I81" s="113"/>
      <c r="J81" s="96"/>
      <c r="N81" s="42"/>
      <c r="O81" s="65"/>
    </row>
    <row r="82" spans="1:16" s="95" customFormat="1" ht="15.75" x14ac:dyDescent="0.25">
      <c r="A82" s="65"/>
      <c r="B82" s="65"/>
      <c r="C82" s="65"/>
      <c r="D82" s="65"/>
      <c r="E82" s="64">
        <v>5000</v>
      </c>
      <c r="F82" s="298">
        <v>2500</v>
      </c>
      <c r="G82" s="83" t="s">
        <v>90</v>
      </c>
      <c r="H82" s="63"/>
      <c r="I82" s="64"/>
      <c r="J82" s="96"/>
      <c r="N82" s="42"/>
      <c r="O82" s="65"/>
    </row>
    <row r="83" spans="1:16" s="95" customFormat="1" ht="15.75" x14ac:dyDescent="0.25">
      <c r="A83" s="65"/>
      <c r="B83" s="65"/>
      <c r="C83" s="65"/>
      <c r="D83" s="65"/>
      <c r="E83" s="64">
        <v>6000</v>
      </c>
      <c r="F83" s="298">
        <v>6000</v>
      </c>
      <c r="G83" s="83" t="s">
        <v>93</v>
      </c>
      <c r="H83" s="63"/>
      <c r="I83" s="64"/>
      <c r="J83" s="96"/>
      <c r="N83" s="42"/>
      <c r="O83" s="65"/>
    </row>
    <row r="84" spans="1:16" s="95" customFormat="1" ht="15.75" x14ac:dyDescent="0.25">
      <c r="E84" s="95" t="s">
        <v>3</v>
      </c>
      <c r="F84" s="297">
        <f>SUM(F73:F83)</f>
        <v>59800</v>
      </c>
      <c r="G84" s="83"/>
      <c r="H84" s="63"/>
      <c r="I84" s="64"/>
      <c r="J84" s="96"/>
      <c r="N84" s="42"/>
      <c r="O84" s="65"/>
    </row>
    <row r="85" spans="1:16" s="20" customFormat="1" ht="15.75" x14ac:dyDescent="0.25">
      <c r="F85" s="292"/>
      <c r="G85" s="27"/>
      <c r="H85" s="23"/>
      <c r="I85" s="22"/>
      <c r="J85" s="28"/>
      <c r="N85" s="7"/>
      <c r="O85" s="16"/>
    </row>
    <row r="86" spans="1:16" s="91" customFormat="1" ht="15.75" x14ac:dyDescent="0.25">
      <c r="A86" s="105" t="s">
        <v>175</v>
      </c>
      <c r="E86" s="106"/>
      <c r="F86" s="303"/>
      <c r="G86" s="92"/>
      <c r="H86" s="93"/>
      <c r="I86" s="17"/>
      <c r="J86" s="93"/>
      <c r="N86" s="17"/>
    </row>
    <row r="87" spans="1:16" s="65" customFormat="1" ht="15.75" x14ac:dyDescent="0.25">
      <c r="A87" s="95"/>
      <c r="B87" s="95" t="s">
        <v>0</v>
      </c>
      <c r="C87" s="95" t="s">
        <v>1</v>
      </c>
      <c r="D87" s="95"/>
      <c r="E87" s="42" t="s">
        <v>205</v>
      </c>
      <c r="F87" s="297" t="s">
        <v>208</v>
      </c>
      <c r="G87" s="42" t="s">
        <v>2</v>
      </c>
      <c r="H87" s="63"/>
      <c r="L87" s="65" t="s">
        <v>146</v>
      </c>
      <c r="M87" s="65" t="s">
        <v>145</v>
      </c>
      <c r="O87" s="96" t="s">
        <v>3</v>
      </c>
      <c r="P87" s="108">
        <f>(P88+P89)*1.18</f>
        <v>79484.800000000003</v>
      </c>
    </row>
    <row r="88" spans="1:16" s="95" customFormat="1" ht="15.75" x14ac:dyDescent="0.25">
      <c r="A88" s="65"/>
      <c r="B88" s="65"/>
      <c r="C88" s="65"/>
      <c r="D88" s="65"/>
      <c r="E88" s="64">
        <v>9000</v>
      </c>
      <c r="F88" s="298">
        <f>E88</f>
        <v>9000</v>
      </c>
      <c r="G88" s="83" t="s">
        <v>115</v>
      </c>
      <c r="H88" s="63"/>
      <c r="I88" s="113"/>
      <c r="N88" s="42"/>
      <c r="O88" s="109">
        <f>27*420</f>
        <v>11340</v>
      </c>
      <c r="P88" s="63">
        <f>O88*$F$5</f>
        <v>45360</v>
      </c>
    </row>
    <row r="89" spans="1:16" s="95" customFormat="1" ht="15.75" x14ac:dyDescent="0.25">
      <c r="A89" s="65"/>
      <c r="B89" s="65"/>
      <c r="C89" s="65"/>
      <c r="D89" s="65"/>
      <c r="E89" s="64">
        <v>10000</v>
      </c>
      <c r="F89" s="298">
        <v>10000</v>
      </c>
      <c r="G89" s="83" t="s">
        <v>106</v>
      </c>
      <c r="H89" s="96"/>
      <c r="I89" s="42"/>
      <c r="N89" s="42"/>
      <c r="O89" s="109">
        <v>5500</v>
      </c>
      <c r="P89" s="63">
        <f>O89*$F$5</f>
        <v>22000</v>
      </c>
    </row>
    <row r="90" spans="1:16" s="95" customFormat="1" ht="15.75" x14ac:dyDescent="0.25">
      <c r="A90" s="65">
        <v>130</v>
      </c>
      <c r="B90" s="65">
        <v>1</v>
      </c>
      <c r="C90" s="65">
        <v>450</v>
      </c>
      <c r="D90" s="65"/>
      <c r="E90" s="64">
        <f>C90*B90*A90</f>
        <v>58500</v>
      </c>
      <c r="F90" s="298">
        <f>E90</f>
        <v>58500</v>
      </c>
      <c r="G90" s="83" t="s">
        <v>209</v>
      </c>
      <c r="H90" s="96"/>
      <c r="I90" s="42"/>
      <c r="N90" s="42"/>
      <c r="O90" s="96"/>
    </row>
    <row r="91" spans="1:16" s="95" customFormat="1" ht="15.75" x14ac:dyDescent="0.25">
      <c r="B91" s="65">
        <v>1</v>
      </c>
      <c r="C91" s="65">
        <v>1</v>
      </c>
      <c r="D91" s="65"/>
      <c r="E91" s="64">
        <v>10000</v>
      </c>
      <c r="F91" s="298">
        <v>10000</v>
      </c>
      <c r="G91" s="83" t="s">
        <v>18</v>
      </c>
      <c r="H91" s="96"/>
      <c r="I91" s="42"/>
      <c r="J91" s="96"/>
      <c r="N91" s="42"/>
      <c r="O91" s="65"/>
    </row>
    <row r="92" spans="1:16" s="95" customFormat="1" ht="15.75" x14ac:dyDescent="0.25">
      <c r="B92" s="65">
        <v>1</v>
      </c>
      <c r="C92" s="65">
        <v>1</v>
      </c>
      <c r="D92" s="65"/>
      <c r="E92" s="64">
        <f>30000*1.18</f>
        <v>35400</v>
      </c>
      <c r="F92" s="298">
        <f>E92</f>
        <v>35400</v>
      </c>
      <c r="G92" s="83" t="s">
        <v>210</v>
      </c>
      <c r="H92" s="96"/>
      <c r="I92" s="42"/>
      <c r="J92" s="96"/>
      <c r="N92" s="42"/>
      <c r="O92" s="65"/>
    </row>
    <row r="93" spans="1:16" s="95" customFormat="1" ht="15.75" x14ac:dyDescent="0.25">
      <c r="B93" s="65"/>
      <c r="E93" s="95" t="s">
        <v>3</v>
      </c>
      <c r="F93" s="297">
        <f>SUM(F88:F92)</f>
        <v>122900</v>
      </c>
      <c r="G93" s="83"/>
      <c r="H93" s="96"/>
      <c r="I93" s="42"/>
      <c r="J93" s="96"/>
      <c r="N93" s="42"/>
      <c r="O93" s="65"/>
    </row>
    <row r="94" spans="1:16" s="1" customFormat="1" ht="15.75" x14ac:dyDescent="0.25">
      <c r="B94" s="2"/>
      <c r="C94" s="2"/>
      <c r="D94" s="2"/>
      <c r="E94" s="15"/>
      <c r="F94" s="295"/>
      <c r="G94" s="10"/>
      <c r="H94" s="6"/>
      <c r="I94" s="5"/>
      <c r="J94" s="6"/>
      <c r="N94" s="5"/>
      <c r="O94" s="2"/>
    </row>
    <row r="95" spans="1:16" s="91" customFormat="1" ht="15.75" x14ac:dyDescent="0.25">
      <c r="A95" s="105" t="s">
        <v>170</v>
      </c>
      <c r="C95" s="13"/>
      <c r="D95" s="13"/>
      <c r="E95" s="106"/>
      <c r="F95" s="303"/>
      <c r="G95" s="92"/>
      <c r="H95" s="93"/>
      <c r="I95" s="17"/>
      <c r="J95" s="93"/>
      <c r="N95" s="17"/>
    </row>
    <row r="96" spans="1:16" s="95" customFormat="1" ht="15.75" x14ac:dyDescent="0.25">
      <c r="B96" s="95" t="s">
        <v>0</v>
      </c>
      <c r="C96" s="95" t="s">
        <v>1</v>
      </c>
      <c r="E96" s="95" t="s">
        <v>205</v>
      </c>
      <c r="F96" s="299" t="s">
        <v>208</v>
      </c>
      <c r="G96" s="95" t="s">
        <v>2</v>
      </c>
    </row>
    <row r="97" spans="1:15" s="65" customFormat="1" ht="15.75" x14ac:dyDescent="0.25">
      <c r="E97" s="107">
        <v>4500</v>
      </c>
      <c r="F97" s="300">
        <f>0</f>
        <v>0</v>
      </c>
      <c r="G97" s="65" t="s">
        <v>192</v>
      </c>
    </row>
    <row r="98" spans="1:15" s="65" customFormat="1" ht="15.75" x14ac:dyDescent="0.25">
      <c r="B98" s="65">
        <v>1</v>
      </c>
      <c r="C98" s="65">
        <v>30</v>
      </c>
      <c r="E98" s="65">
        <v>25000</v>
      </c>
      <c r="F98" s="300">
        <v>25000</v>
      </c>
      <c r="G98" s="65" t="s">
        <v>19</v>
      </c>
    </row>
    <row r="99" spans="1:15" s="65" customFormat="1" ht="15.75" x14ac:dyDescent="0.25">
      <c r="A99" s="65">
        <v>250</v>
      </c>
      <c r="B99" s="65">
        <v>1</v>
      </c>
      <c r="C99" s="65">
        <v>30</v>
      </c>
      <c r="E99" s="65">
        <f>C99*A99</f>
        <v>7500</v>
      </c>
      <c r="F99" s="300">
        <f>E99</f>
        <v>7500</v>
      </c>
      <c r="G99" s="65" t="s">
        <v>20</v>
      </c>
    </row>
    <row r="100" spans="1:15" s="65" customFormat="1" ht="15.75" x14ac:dyDescent="0.25">
      <c r="E100" s="65">
        <v>2000</v>
      </c>
      <c r="F100" s="300">
        <v>0</v>
      </c>
      <c r="G100" s="65" t="s">
        <v>115</v>
      </c>
    </row>
    <row r="101" spans="1:15" s="65" customFormat="1" ht="15.75" x14ac:dyDescent="0.25">
      <c r="E101" s="65">
        <v>0</v>
      </c>
      <c r="F101" s="300">
        <v>0</v>
      </c>
      <c r="G101" s="65" t="s">
        <v>21</v>
      </c>
    </row>
    <row r="102" spans="1:15" s="65" customFormat="1" ht="15.75" x14ac:dyDescent="0.25">
      <c r="A102" s="65">
        <v>10</v>
      </c>
      <c r="C102" s="65">
        <v>400</v>
      </c>
      <c r="E102" s="65">
        <f>C102*A102</f>
        <v>4000</v>
      </c>
      <c r="F102" s="300">
        <f>E102</f>
        <v>4000</v>
      </c>
      <c r="G102" s="65" t="s">
        <v>200</v>
      </c>
    </row>
    <row r="103" spans="1:15" s="65" customFormat="1" ht="15.75" x14ac:dyDescent="0.25">
      <c r="E103" s="65">
        <v>0</v>
      </c>
      <c r="F103" s="300">
        <v>0</v>
      </c>
      <c r="G103" s="65" t="s">
        <v>34</v>
      </c>
    </row>
    <row r="104" spans="1:15" s="65" customFormat="1" ht="15.75" x14ac:dyDescent="0.25">
      <c r="E104" s="95" t="s">
        <v>3</v>
      </c>
      <c r="F104" s="299">
        <f>SUM(F97:F103)</f>
        <v>36500</v>
      </c>
    </row>
    <row r="105" spans="1:15" s="29" customFormat="1" ht="15.75" x14ac:dyDescent="0.25">
      <c r="B105" s="30"/>
      <c r="C105" s="30"/>
      <c r="D105" s="30"/>
      <c r="F105" s="304"/>
      <c r="G105" s="114"/>
      <c r="H105" s="115"/>
      <c r="I105" s="31"/>
      <c r="J105" s="115"/>
      <c r="N105" s="31"/>
      <c r="O105" s="30"/>
    </row>
    <row r="106" spans="1:15" s="91" customFormat="1" ht="15.75" x14ac:dyDescent="0.25">
      <c r="A106" s="105" t="s">
        <v>193</v>
      </c>
      <c r="B106" s="105"/>
      <c r="E106" s="106"/>
      <c r="F106" s="303"/>
      <c r="H106" s="93"/>
      <c r="I106" s="17"/>
      <c r="J106" s="93"/>
      <c r="N106" s="17"/>
    </row>
    <row r="107" spans="1:15" s="95" customFormat="1" ht="15.75" x14ac:dyDescent="0.25">
      <c r="B107" s="65"/>
      <c r="C107" s="65"/>
      <c r="D107" s="65"/>
      <c r="E107" s="83">
        <v>3000</v>
      </c>
      <c r="F107" s="305">
        <f>E107</f>
        <v>3000</v>
      </c>
      <c r="G107" s="83" t="s">
        <v>23</v>
      </c>
      <c r="H107" s="96"/>
      <c r="I107" s="42"/>
      <c r="J107" s="96"/>
      <c r="N107" s="42"/>
      <c r="O107" s="65"/>
    </row>
    <row r="108" spans="1:15" s="95" customFormat="1" ht="15.75" x14ac:dyDescent="0.25">
      <c r="A108" s="65"/>
      <c r="B108" s="65"/>
      <c r="C108" s="65"/>
      <c r="D108" s="65"/>
      <c r="E108" s="104">
        <v>1500</v>
      </c>
      <c r="F108" s="305" t="s">
        <v>224</v>
      </c>
      <c r="G108" s="65" t="s">
        <v>112</v>
      </c>
      <c r="H108" s="65"/>
      <c r="I108" s="65"/>
      <c r="J108" s="65"/>
      <c r="K108" s="65"/>
      <c r="L108" s="65"/>
      <c r="M108" s="65"/>
      <c r="N108" s="42"/>
      <c r="O108" s="65"/>
    </row>
    <row r="109" spans="1:15" s="95" customFormat="1" ht="15.75" x14ac:dyDescent="0.25">
      <c r="A109" s="65"/>
      <c r="B109" s="65">
        <v>1</v>
      </c>
      <c r="C109" s="65">
        <v>1</v>
      </c>
      <c r="D109" s="65"/>
      <c r="E109" s="65">
        <v>2500</v>
      </c>
      <c r="F109" s="300">
        <v>2500</v>
      </c>
      <c r="G109" s="65" t="s">
        <v>22</v>
      </c>
      <c r="H109" s="65"/>
      <c r="I109" s="65"/>
      <c r="J109" s="65"/>
      <c r="K109" s="65"/>
      <c r="L109" s="65"/>
      <c r="M109" s="65"/>
      <c r="N109" s="42"/>
      <c r="O109" s="65"/>
    </row>
    <row r="110" spans="1:15" s="95" customFormat="1" ht="15.75" x14ac:dyDescent="0.25">
      <c r="A110" s="65"/>
      <c r="B110" s="65"/>
      <c r="C110" s="65"/>
      <c r="D110" s="65"/>
      <c r="E110" s="65">
        <f>6*550</f>
        <v>3300</v>
      </c>
      <c r="F110" s="300">
        <f>E110</f>
        <v>3300</v>
      </c>
      <c r="G110" s="65" t="s">
        <v>223</v>
      </c>
      <c r="H110" s="65"/>
      <c r="I110" s="65"/>
      <c r="J110" s="65"/>
      <c r="K110" s="65"/>
      <c r="L110" s="65"/>
      <c r="M110" s="65"/>
      <c r="N110" s="42"/>
      <c r="O110" s="65"/>
    </row>
    <row r="111" spans="1:15" s="95" customFormat="1" ht="15.75" x14ac:dyDescent="0.25">
      <c r="B111" s="65"/>
      <c r="E111" s="95" t="s">
        <v>3</v>
      </c>
      <c r="F111" s="297">
        <f>SUM(F107:F110)</f>
        <v>8800</v>
      </c>
      <c r="G111" s="83"/>
      <c r="H111" s="96"/>
      <c r="I111" s="42"/>
      <c r="J111" s="96"/>
      <c r="N111" s="42"/>
      <c r="O111" s="65"/>
    </row>
    <row r="112" spans="1:15" s="1" customFormat="1" ht="15.75" x14ac:dyDescent="0.25">
      <c r="B112" s="2"/>
      <c r="C112" s="10"/>
      <c r="D112" s="10"/>
      <c r="E112" s="15"/>
      <c r="F112" s="295"/>
      <c r="G112" s="10"/>
      <c r="H112" s="6"/>
      <c r="I112" s="5"/>
      <c r="J112" s="6"/>
      <c r="N112" s="5"/>
      <c r="O112" s="2"/>
    </row>
    <row r="113" spans="1:15" s="91" customFormat="1" ht="15.75" x14ac:dyDescent="0.25">
      <c r="A113" s="91" t="s">
        <v>201</v>
      </c>
      <c r="C113" s="92"/>
      <c r="D113" s="92"/>
      <c r="E113" s="106"/>
      <c r="F113" s="303"/>
      <c r="G113" s="92"/>
      <c r="H113" s="93"/>
      <c r="I113" s="17"/>
      <c r="J113" s="93"/>
      <c r="N113" s="17"/>
    </row>
    <row r="114" spans="1:15" s="95" customFormat="1" ht="15.75" x14ac:dyDescent="0.25">
      <c r="A114" s="42" t="s">
        <v>32</v>
      </c>
      <c r="B114" s="42" t="s">
        <v>31</v>
      </c>
      <c r="C114" s="42" t="s">
        <v>1</v>
      </c>
      <c r="D114" s="42"/>
      <c r="E114" s="42" t="s">
        <v>205</v>
      </c>
      <c r="F114" s="297" t="s">
        <v>208</v>
      </c>
      <c r="G114" s="95" t="s">
        <v>2</v>
      </c>
      <c r="H114" s="96"/>
      <c r="I114" s="42"/>
      <c r="J114" s="96"/>
      <c r="N114" s="42"/>
      <c r="O114" s="65"/>
    </row>
    <row r="115" spans="1:15" s="95" customFormat="1" ht="15.75" x14ac:dyDescent="0.25">
      <c r="A115" s="42"/>
      <c r="B115" s="42"/>
      <c r="C115" s="42"/>
      <c r="D115" s="42"/>
      <c r="E115" s="42">
        <v>0</v>
      </c>
      <c r="F115" s="298">
        <v>0</v>
      </c>
      <c r="G115" s="64" t="s">
        <v>14</v>
      </c>
      <c r="H115" s="96"/>
      <c r="I115" s="42"/>
      <c r="J115" s="96"/>
      <c r="N115" s="42"/>
      <c r="O115" s="65"/>
    </row>
    <row r="116" spans="1:15" s="95" customFormat="1" ht="15.75" x14ac:dyDescent="0.25">
      <c r="A116" s="42"/>
      <c r="B116" s="42"/>
      <c r="C116" s="42"/>
      <c r="D116" s="42"/>
      <c r="E116" s="64">
        <f>12000+26000</f>
        <v>38000</v>
      </c>
      <c r="F116" s="306">
        <f>E116</f>
        <v>38000</v>
      </c>
      <c r="G116" s="64" t="s">
        <v>94</v>
      </c>
      <c r="H116" s="96"/>
      <c r="I116" s="42"/>
      <c r="J116" s="96"/>
      <c r="N116" s="42"/>
      <c r="O116" s="65"/>
    </row>
    <row r="117" spans="1:15" s="95" customFormat="1" ht="15.75" x14ac:dyDescent="0.25">
      <c r="A117" s="42"/>
      <c r="B117" s="42"/>
      <c r="C117" s="42"/>
      <c r="D117" s="42"/>
      <c r="E117" s="64">
        <v>3000</v>
      </c>
      <c r="F117" s="306">
        <v>3000</v>
      </c>
      <c r="G117" s="64" t="s">
        <v>95</v>
      </c>
      <c r="H117" s="96"/>
      <c r="I117" s="42"/>
      <c r="J117" s="96"/>
      <c r="N117" s="42"/>
      <c r="O117" s="65"/>
    </row>
    <row r="118" spans="1:15" s="95" customFormat="1" ht="15.75" x14ac:dyDescent="0.25">
      <c r="A118" s="64"/>
      <c r="B118" s="64">
        <f>5000*1.18</f>
        <v>5900</v>
      </c>
      <c r="C118" s="64">
        <v>6</v>
      </c>
      <c r="D118" s="64"/>
      <c r="E118" s="97">
        <f>B118*C118</f>
        <v>35400</v>
      </c>
      <c r="F118" s="306">
        <f>E118</f>
        <v>35400</v>
      </c>
      <c r="G118" s="65" t="s">
        <v>15</v>
      </c>
      <c r="H118" s="96"/>
      <c r="I118" s="42"/>
      <c r="N118" s="42"/>
      <c r="O118" s="65"/>
    </row>
    <row r="119" spans="1:15" s="95" customFormat="1" ht="15.75" x14ac:dyDescent="0.25">
      <c r="A119" s="65">
        <v>2000</v>
      </c>
      <c r="B119" s="65">
        <v>3</v>
      </c>
      <c r="C119" s="83">
        <v>1</v>
      </c>
      <c r="D119" s="83"/>
      <c r="E119" s="64">
        <f>A119*B119*C119</f>
        <v>6000</v>
      </c>
      <c r="F119" s="306">
        <f t="shared" ref="F119:F124" si="0">E119</f>
        <v>6000</v>
      </c>
      <c r="G119" s="83" t="s">
        <v>29</v>
      </c>
      <c r="H119" s="96"/>
      <c r="I119" s="42"/>
      <c r="J119" s="96"/>
      <c r="N119" s="42"/>
      <c r="O119" s="65"/>
    </row>
    <row r="120" spans="1:15" s="95" customFormat="1" ht="15.75" x14ac:dyDescent="0.25">
      <c r="A120" s="65">
        <v>650</v>
      </c>
      <c r="B120" s="65">
        <v>4</v>
      </c>
      <c r="C120" s="83" t="s">
        <v>30</v>
      </c>
      <c r="D120" s="83"/>
      <c r="E120" s="64">
        <f>C120*B120*A120</f>
        <v>10400</v>
      </c>
      <c r="F120" s="306">
        <f t="shared" si="0"/>
        <v>10400</v>
      </c>
      <c r="G120" s="83" t="s">
        <v>24</v>
      </c>
      <c r="H120" s="96"/>
      <c r="I120" s="42"/>
      <c r="J120" s="96"/>
      <c r="N120" s="42"/>
      <c r="O120" s="65"/>
    </row>
    <row r="121" spans="1:15" s="95" customFormat="1" ht="15.75" x14ac:dyDescent="0.25">
      <c r="A121" s="65">
        <f>50*10</f>
        <v>500</v>
      </c>
      <c r="B121" s="65">
        <v>4</v>
      </c>
      <c r="C121" s="83" t="s">
        <v>113</v>
      </c>
      <c r="D121" s="83"/>
      <c r="E121" s="64">
        <f>C121*B121*A121</f>
        <v>10000</v>
      </c>
      <c r="F121" s="306">
        <f t="shared" si="0"/>
        <v>10000</v>
      </c>
      <c r="G121" s="83" t="s">
        <v>25</v>
      </c>
      <c r="H121" s="96"/>
      <c r="I121" s="42"/>
      <c r="J121" s="96"/>
      <c r="N121" s="42"/>
      <c r="O121" s="65"/>
    </row>
    <row r="122" spans="1:15" s="95" customFormat="1" ht="15.75" x14ac:dyDescent="0.25">
      <c r="A122" s="65">
        <f>30*1.4*10</f>
        <v>420</v>
      </c>
      <c r="B122" s="65">
        <v>3</v>
      </c>
      <c r="C122" s="83" t="s">
        <v>75</v>
      </c>
      <c r="D122" s="83"/>
      <c r="E122" s="64">
        <f>C122*B122*A122</f>
        <v>3780</v>
      </c>
      <c r="F122" s="306">
        <f t="shared" si="0"/>
        <v>3780</v>
      </c>
      <c r="G122" s="83" t="s">
        <v>26</v>
      </c>
      <c r="H122" s="96"/>
      <c r="I122" s="42"/>
      <c r="J122" s="96"/>
      <c r="N122" s="42"/>
      <c r="O122" s="65"/>
    </row>
    <row r="123" spans="1:15" s="95" customFormat="1" ht="15.75" x14ac:dyDescent="0.25">
      <c r="A123" s="65">
        <v>1000</v>
      </c>
      <c r="B123" s="65">
        <v>4</v>
      </c>
      <c r="C123" s="83" t="s">
        <v>33</v>
      </c>
      <c r="D123" s="83"/>
      <c r="E123" s="64">
        <f>A123*B123*C123</f>
        <v>4000</v>
      </c>
      <c r="F123" s="306">
        <f t="shared" si="0"/>
        <v>4000</v>
      </c>
      <c r="G123" s="83" t="s">
        <v>27</v>
      </c>
      <c r="H123" s="96"/>
      <c r="I123" s="42"/>
      <c r="J123" s="96"/>
      <c r="N123" s="42"/>
      <c r="O123" s="65"/>
    </row>
    <row r="124" spans="1:15" s="95" customFormat="1" ht="15.75" x14ac:dyDescent="0.25">
      <c r="A124" s="65">
        <v>1000</v>
      </c>
      <c r="B124" s="65">
        <v>3</v>
      </c>
      <c r="C124" s="83" t="s">
        <v>33</v>
      </c>
      <c r="D124" s="83"/>
      <c r="E124" s="64">
        <f>A124*B124*C124</f>
        <v>3000</v>
      </c>
      <c r="F124" s="306">
        <f t="shared" si="0"/>
        <v>3000</v>
      </c>
      <c r="G124" s="83" t="s">
        <v>28</v>
      </c>
      <c r="H124" s="96"/>
      <c r="I124" s="42"/>
      <c r="J124" s="96"/>
      <c r="N124" s="42"/>
      <c r="O124" s="65"/>
    </row>
    <row r="125" spans="1:15" s="95" customFormat="1" ht="15.75" x14ac:dyDescent="0.25">
      <c r="B125" s="65"/>
      <c r="E125" s="95" t="s">
        <v>3</v>
      </c>
      <c r="F125" s="297">
        <f>SUM(F115:F124)</f>
        <v>113580</v>
      </c>
      <c r="G125" s="83"/>
      <c r="H125" s="96"/>
      <c r="I125" s="42"/>
      <c r="J125" s="96"/>
      <c r="N125" s="42"/>
      <c r="O125" s="65"/>
    </row>
    <row r="126" spans="1:15" s="1" customFormat="1" ht="15.75" x14ac:dyDescent="0.25">
      <c r="B126" s="2"/>
      <c r="C126" s="10"/>
      <c r="D126" s="10"/>
      <c r="E126" s="15"/>
      <c r="F126" s="295"/>
      <c r="G126" s="10"/>
      <c r="H126" s="6"/>
      <c r="I126" s="5"/>
      <c r="J126" s="6"/>
      <c r="N126" s="5"/>
      <c r="O126" s="2"/>
    </row>
    <row r="127" spans="1:15" s="91" customFormat="1" ht="15.75" x14ac:dyDescent="0.25">
      <c r="A127" s="91" t="s">
        <v>187</v>
      </c>
      <c r="C127" s="92"/>
      <c r="D127" s="92"/>
      <c r="E127" s="106"/>
      <c r="F127" s="303"/>
      <c r="G127" s="92"/>
      <c r="H127" s="93"/>
      <c r="I127" s="17"/>
      <c r="J127" s="93"/>
      <c r="N127" s="17"/>
    </row>
    <row r="128" spans="1:15" s="95" customFormat="1" ht="15.75" x14ac:dyDescent="0.25">
      <c r="A128" s="42" t="s">
        <v>32</v>
      </c>
      <c r="B128" s="42" t="s">
        <v>31</v>
      </c>
      <c r="C128" s="42" t="s">
        <v>1</v>
      </c>
      <c r="D128" s="42"/>
      <c r="E128" s="42" t="s">
        <v>205</v>
      </c>
      <c r="F128" s="297" t="s">
        <v>208</v>
      </c>
      <c r="G128" s="95" t="s">
        <v>2</v>
      </c>
      <c r="H128" s="96"/>
      <c r="I128" s="42"/>
      <c r="J128" s="96"/>
      <c r="N128" s="42"/>
      <c r="O128" s="65"/>
    </row>
    <row r="129" spans="1:15" s="95" customFormat="1" ht="15.75" x14ac:dyDescent="0.25">
      <c r="A129" s="42"/>
      <c r="B129" s="42"/>
      <c r="C129" s="42"/>
      <c r="D129" s="42"/>
      <c r="E129" s="42"/>
      <c r="F129" s="297">
        <v>0</v>
      </c>
      <c r="G129" s="65" t="s">
        <v>211</v>
      </c>
      <c r="H129" s="96"/>
      <c r="I129" s="42"/>
      <c r="J129" s="96"/>
      <c r="N129" s="42"/>
      <c r="O129" s="65"/>
    </row>
    <row r="130" spans="1:15" s="95" customFormat="1" ht="15.75" x14ac:dyDescent="0.25">
      <c r="A130" s="64"/>
      <c r="B130" s="64">
        <v>1</v>
      </c>
      <c r="C130" s="64">
        <v>1</v>
      </c>
      <c r="D130" s="64"/>
      <c r="E130" s="64">
        <v>6500</v>
      </c>
      <c r="F130" s="300">
        <f>E130</f>
        <v>6500</v>
      </c>
      <c r="G130" s="65" t="s">
        <v>148</v>
      </c>
      <c r="H130" s="96"/>
      <c r="I130" s="42"/>
      <c r="J130" s="96"/>
      <c r="N130" s="42"/>
      <c r="O130" s="65"/>
    </row>
    <row r="131" spans="1:15" s="95" customFormat="1" ht="15.75" x14ac:dyDescent="0.25">
      <c r="A131" s="64"/>
      <c r="B131" s="64"/>
      <c r="C131" s="64"/>
      <c r="D131" s="64"/>
      <c r="E131" s="42">
        <v>0</v>
      </c>
      <c r="F131" s="300">
        <v>0</v>
      </c>
      <c r="G131" s="65" t="s">
        <v>17</v>
      </c>
      <c r="H131" s="96"/>
      <c r="J131" s="96"/>
      <c r="N131" s="42"/>
      <c r="O131" s="65"/>
    </row>
    <row r="132" spans="1:15" s="95" customFormat="1" ht="15.75" x14ac:dyDescent="0.25">
      <c r="A132" s="64"/>
      <c r="B132" s="64"/>
      <c r="C132" s="64"/>
      <c r="D132" s="64"/>
      <c r="E132" s="42">
        <v>0</v>
      </c>
      <c r="F132" s="300">
        <v>6000</v>
      </c>
      <c r="G132" s="65" t="s">
        <v>115</v>
      </c>
      <c r="H132" s="96"/>
      <c r="I132" s="113"/>
      <c r="J132" s="96"/>
      <c r="N132" s="42"/>
      <c r="O132" s="65"/>
    </row>
    <row r="133" spans="1:15" s="95" customFormat="1" ht="15.75" x14ac:dyDescent="0.25">
      <c r="A133" s="64"/>
      <c r="B133" s="64"/>
      <c r="C133" s="64"/>
      <c r="D133" s="64"/>
      <c r="E133" s="42">
        <v>0</v>
      </c>
      <c r="F133" s="300">
        <v>0</v>
      </c>
      <c r="G133" s="65" t="s">
        <v>35</v>
      </c>
      <c r="H133" s="96"/>
      <c r="I133" s="42"/>
      <c r="J133" s="96"/>
      <c r="N133" s="42"/>
      <c r="O133" s="65"/>
    </row>
    <row r="134" spans="1:15" s="95" customFormat="1" ht="15.75" x14ac:dyDescent="0.25">
      <c r="A134" s="64"/>
      <c r="B134" s="64"/>
      <c r="C134" s="95" t="s">
        <v>3</v>
      </c>
      <c r="E134" s="97"/>
      <c r="F134" s="299">
        <f>SUM(F130:F133)</f>
        <v>12500</v>
      </c>
      <c r="G134" s="65"/>
      <c r="H134" s="96"/>
      <c r="I134" s="42"/>
      <c r="J134" s="96"/>
      <c r="N134" s="42"/>
      <c r="O134" s="65"/>
    </row>
    <row r="135" spans="1:15" s="1" customFormat="1" ht="15.75" x14ac:dyDescent="0.25">
      <c r="A135" s="3"/>
      <c r="B135" s="3"/>
      <c r="E135" s="8"/>
      <c r="F135" s="295"/>
      <c r="H135" s="6"/>
      <c r="I135" s="5"/>
      <c r="J135" s="6"/>
      <c r="N135" s="5"/>
      <c r="O135" s="2"/>
    </row>
    <row r="136" spans="1:15" s="91" customFormat="1" ht="15.75" x14ac:dyDescent="0.25">
      <c r="A136" s="91" t="s">
        <v>49</v>
      </c>
      <c r="E136" s="124"/>
      <c r="F136" s="303"/>
      <c r="H136" s="93"/>
      <c r="I136" s="17"/>
      <c r="J136" s="93"/>
      <c r="N136" s="17"/>
    </row>
    <row r="137" spans="1:15" s="95" customFormat="1" ht="15.75" x14ac:dyDescent="0.25">
      <c r="A137" s="42"/>
      <c r="B137" s="42" t="s">
        <v>31</v>
      </c>
      <c r="C137" s="42" t="s">
        <v>1</v>
      </c>
      <c r="D137" s="42"/>
      <c r="E137" s="42" t="s">
        <v>205</v>
      </c>
      <c r="F137" s="297" t="s">
        <v>208</v>
      </c>
      <c r="G137" s="95" t="s">
        <v>2</v>
      </c>
      <c r="H137" s="96"/>
      <c r="I137" s="42"/>
      <c r="J137" s="96"/>
      <c r="N137" s="42"/>
      <c r="O137" s="65"/>
    </row>
    <row r="138" spans="1:15" s="95" customFormat="1" ht="15.75" x14ac:dyDescent="0.25">
      <c r="A138" s="64"/>
      <c r="B138" s="64"/>
      <c r="E138" s="97">
        <v>0</v>
      </c>
      <c r="F138" s="298">
        <v>0</v>
      </c>
      <c r="G138" s="65" t="s">
        <v>51</v>
      </c>
      <c r="H138" s="96"/>
      <c r="I138" s="42"/>
      <c r="J138" s="96"/>
      <c r="O138" s="65"/>
    </row>
    <row r="139" spans="1:15" s="95" customFormat="1" ht="15.75" x14ac:dyDescent="0.25">
      <c r="A139" s="64"/>
      <c r="B139" s="64"/>
      <c r="E139" s="97">
        <v>0</v>
      </c>
      <c r="F139" s="298">
        <v>0</v>
      </c>
      <c r="G139" s="65" t="s">
        <v>52</v>
      </c>
      <c r="H139" s="96"/>
      <c r="I139" s="42"/>
      <c r="J139" s="96"/>
      <c r="O139" s="65"/>
    </row>
    <row r="140" spans="1:15" s="95" customFormat="1" ht="15.75" x14ac:dyDescent="0.25">
      <c r="A140" s="64">
        <f>80*1.4*10</f>
        <v>1120</v>
      </c>
      <c r="B140" s="64">
        <v>5</v>
      </c>
      <c r="E140" s="97">
        <f>A140*B140</f>
        <v>5600</v>
      </c>
      <c r="F140" s="298">
        <f>E140</f>
        <v>5600</v>
      </c>
      <c r="G140" s="65" t="s">
        <v>50</v>
      </c>
      <c r="H140" s="96"/>
      <c r="I140" s="42"/>
      <c r="J140" s="96"/>
      <c r="N140" s="42"/>
      <c r="O140" s="65"/>
    </row>
    <row r="141" spans="1:15" s="95" customFormat="1" ht="15.75" x14ac:dyDescent="0.25">
      <c r="A141" s="64"/>
      <c r="B141" s="64"/>
      <c r="E141" s="123" t="s">
        <v>3</v>
      </c>
      <c r="F141" s="297">
        <f>SUM(F138:F140)</f>
        <v>5600</v>
      </c>
      <c r="G141" s="65"/>
      <c r="H141" s="96"/>
      <c r="I141" s="42"/>
      <c r="J141" s="96"/>
      <c r="N141" s="42"/>
      <c r="O141" s="65"/>
    </row>
    <row r="142" spans="1:15" s="1" customFormat="1" ht="15.75" x14ac:dyDescent="0.25">
      <c r="A142" s="3"/>
      <c r="B142" s="3"/>
      <c r="E142" s="8"/>
      <c r="F142" s="295"/>
      <c r="G142" s="2"/>
      <c r="H142" s="6"/>
      <c r="I142" s="5"/>
      <c r="J142" s="6"/>
      <c r="N142" s="5"/>
      <c r="O142" s="2"/>
    </row>
    <row r="143" spans="1:15" s="33" customFormat="1" ht="15.75" x14ac:dyDescent="0.25">
      <c r="A143" s="36" t="s">
        <v>76</v>
      </c>
      <c r="B143" s="18"/>
      <c r="C143" s="18"/>
      <c r="D143" s="18"/>
      <c r="E143" s="36"/>
      <c r="F143" s="307"/>
      <c r="G143" s="34"/>
      <c r="H143" s="117"/>
      <c r="I143" s="36"/>
      <c r="J143" s="117"/>
      <c r="N143" s="36"/>
      <c r="O143" s="34"/>
    </row>
    <row r="144" spans="1:15" s="118" customFormat="1" ht="15.75" x14ac:dyDescent="0.25">
      <c r="A144" s="133"/>
      <c r="B144" s="133"/>
      <c r="C144" s="120" t="s">
        <v>1</v>
      </c>
      <c r="D144" s="120"/>
      <c r="E144" s="120" t="s">
        <v>205</v>
      </c>
      <c r="F144" s="308" t="s">
        <v>208</v>
      </c>
      <c r="G144" s="118" t="s">
        <v>2</v>
      </c>
      <c r="H144" s="273"/>
      <c r="I144" s="120"/>
      <c r="J144" s="273"/>
      <c r="N144" s="120"/>
      <c r="O144" s="119"/>
    </row>
    <row r="145" spans="1:15" s="118" customFormat="1" ht="15.75" x14ac:dyDescent="0.25">
      <c r="A145" s="274">
        <v>5000</v>
      </c>
      <c r="B145" s="119">
        <v>9</v>
      </c>
      <c r="C145" s="119">
        <v>1.5</v>
      </c>
      <c r="D145" s="119"/>
      <c r="E145" s="275">
        <f>C145*B145*A145</f>
        <v>67500</v>
      </c>
      <c r="F145" s="309">
        <f>E145*$F$5</f>
        <v>270000</v>
      </c>
      <c r="G145" s="276" t="s">
        <v>189</v>
      </c>
      <c r="H145" s="273"/>
      <c r="I145" s="120"/>
      <c r="J145" s="273"/>
      <c r="N145" s="120"/>
      <c r="O145" s="119"/>
    </row>
    <row r="146" spans="1:15" s="118" customFormat="1" ht="15.75" x14ac:dyDescent="0.25">
      <c r="A146" s="275">
        <v>10000</v>
      </c>
      <c r="B146" s="119"/>
      <c r="C146" s="119">
        <v>15</v>
      </c>
      <c r="D146" s="119"/>
      <c r="E146" s="275">
        <f>A146*C146</f>
        <v>150000</v>
      </c>
      <c r="F146" s="309">
        <f>E146*$F$5</f>
        <v>600000</v>
      </c>
      <c r="G146" s="276" t="s">
        <v>126</v>
      </c>
      <c r="H146" s="273"/>
      <c r="I146" s="120"/>
      <c r="J146" s="273"/>
      <c r="N146" s="120"/>
      <c r="O146" s="119"/>
    </row>
    <row r="147" spans="1:15" s="118" customFormat="1" ht="15.75" x14ac:dyDescent="0.25">
      <c r="E147" s="118" t="s">
        <v>3</v>
      </c>
      <c r="F147" s="308">
        <f>SUM(F145:F146)</f>
        <v>870000</v>
      </c>
      <c r="G147" s="276"/>
      <c r="H147" s="273"/>
      <c r="I147" s="120"/>
      <c r="J147" s="273"/>
      <c r="N147" s="120"/>
      <c r="O147" s="119"/>
    </row>
    <row r="148" spans="1:15" x14ac:dyDescent="0.2">
      <c r="F148" s="287"/>
    </row>
    <row r="149" spans="1:15" s="140" customFormat="1" ht="15.75" x14ac:dyDescent="0.25">
      <c r="A149" s="140" t="s">
        <v>124</v>
      </c>
      <c r="E149" s="44" t="s">
        <v>205</v>
      </c>
      <c r="F149" s="310" t="s">
        <v>208</v>
      </c>
      <c r="G149" s="151"/>
      <c r="H149" s="139"/>
      <c r="I149" s="44"/>
      <c r="J149" s="139"/>
      <c r="N149" s="44"/>
    </row>
    <row r="150" spans="1:15" s="74" customFormat="1" ht="15.75" x14ac:dyDescent="0.25">
      <c r="B150" s="77"/>
      <c r="C150" s="77"/>
      <c r="D150" s="77"/>
      <c r="E150" s="76">
        <v>100000</v>
      </c>
      <c r="F150" s="311">
        <f>E150</f>
        <v>100000</v>
      </c>
      <c r="G150" s="78" t="s">
        <v>142</v>
      </c>
      <c r="H150" s="141"/>
      <c r="I150" s="142"/>
      <c r="J150" s="143"/>
      <c r="N150" s="75"/>
      <c r="O150" s="77"/>
    </row>
    <row r="151" spans="1:15" s="74" customFormat="1" ht="15.75" x14ac:dyDescent="0.25">
      <c r="B151" s="77"/>
      <c r="C151" s="77"/>
      <c r="D151" s="77"/>
      <c r="E151" s="76">
        <v>150000</v>
      </c>
      <c r="F151" s="311">
        <v>135000</v>
      </c>
      <c r="G151" s="78" t="s">
        <v>164</v>
      </c>
      <c r="H151" s="141"/>
      <c r="I151" s="75"/>
      <c r="J151" s="141"/>
      <c r="N151" s="75"/>
      <c r="O151" s="77"/>
    </row>
    <row r="152" spans="1:15" s="74" customFormat="1" ht="15.75" x14ac:dyDescent="0.25">
      <c r="B152" s="77"/>
      <c r="C152" s="77"/>
      <c r="D152" s="77"/>
      <c r="E152" s="76">
        <v>0</v>
      </c>
      <c r="F152" s="311">
        <f>E152</f>
        <v>0</v>
      </c>
      <c r="G152" s="78" t="s">
        <v>141</v>
      </c>
      <c r="H152" s="141"/>
      <c r="I152" s="142"/>
      <c r="J152" s="143"/>
      <c r="N152" s="75"/>
      <c r="O152" s="77"/>
    </row>
    <row r="153" spans="1:15" s="74" customFormat="1" ht="15.75" x14ac:dyDescent="0.25">
      <c r="B153" s="77"/>
      <c r="C153" s="77"/>
      <c r="D153" s="77"/>
      <c r="E153" s="76">
        <v>10000</v>
      </c>
      <c r="F153" s="311">
        <f>E153</f>
        <v>10000</v>
      </c>
      <c r="G153" s="78" t="s">
        <v>80</v>
      </c>
      <c r="H153" s="141"/>
      <c r="I153" s="142"/>
      <c r="J153" s="143"/>
      <c r="N153" s="75"/>
      <c r="O153" s="77"/>
    </row>
    <row r="154" spans="1:15" s="74" customFormat="1" ht="15.75" x14ac:dyDescent="0.25">
      <c r="B154" s="77"/>
      <c r="C154" s="77"/>
      <c r="D154" s="77"/>
      <c r="E154" s="76">
        <v>10000</v>
      </c>
      <c r="F154" s="311">
        <f>E154</f>
        <v>10000</v>
      </c>
      <c r="G154" s="78" t="s">
        <v>78</v>
      </c>
      <c r="H154" s="141"/>
      <c r="I154" s="75"/>
      <c r="J154" s="141"/>
      <c r="N154" s="75"/>
      <c r="O154" s="77"/>
    </row>
    <row r="155" spans="1:15" s="74" customFormat="1" ht="15.75" x14ac:dyDescent="0.25">
      <c r="B155" s="77"/>
      <c r="E155" s="74" t="s">
        <v>3</v>
      </c>
      <c r="F155" s="312">
        <f>SUM(F150:F154)</f>
        <v>255000</v>
      </c>
      <c r="G155" s="78"/>
      <c r="H155" s="141"/>
      <c r="I155" s="75"/>
      <c r="J155" s="141"/>
      <c r="N155" s="75"/>
      <c r="O155" s="77"/>
    </row>
    <row r="156" spans="1:15" s="1" customFormat="1" ht="15.75" x14ac:dyDescent="0.25">
      <c r="B156" s="2"/>
      <c r="E156" s="8"/>
      <c r="F156" s="301"/>
      <c r="G156" s="10"/>
      <c r="H156" s="6"/>
      <c r="I156" s="5"/>
      <c r="J156" s="6"/>
      <c r="N156" s="5"/>
      <c r="O156" s="2"/>
    </row>
    <row r="157" spans="1:15" s="140" customFormat="1" ht="15.75" x14ac:dyDescent="0.25">
      <c r="A157" s="140" t="s">
        <v>154</v>
      </c>
      <c r="B157" s="46"/>
      <c r="E157" s="145"/>
      <c r="F157" s="313"/>
      <c r="G157" s="138"/>
      <c r="H157" s="139"/>
      <c r="I157" s="44"/>
      <c r="J157" s="139"/>
      <c r="N157" s="44"/>
      <c r="O157" s="46"/>
    </row>
    <row r="158" spans="1:15" s="74" customFormat="1" ht="15.75" x14ac:dyDescent="0.25">
      <c r="B158" s="74" t="s">
        <v>31</v>
      </c>
      <c r="C158" s="74" t="s">
        <v>1</v>
      </c>
      <c r="E158" s="75" t="s">
        <v>205</v>
      </c>
      <c r="F158" s="312" t="s">
        <v>208</v>
      </c>
      <c r="G158" s="74" t="s">
        <v>2</v>
      </c>
      <c r="H158" s="141"/>
      <c r="I158" s="75"/>
      <c r="J158" s="146" t="s">
        <v>139</v>
      </c>
      <c r="N158" s="75"/>
      <c r="O158" s="77"/>
    </row>
    <row r="159" spans="1:15" s="74" customFormat="1" ht="15.75" x14ac:dyDescent="0.25">
      <c r="A159" s="77"/>
      <c r="B159" s="77"/>
      <c r="C159" s="77">
        <v>24</v>
      </c>
      <c r="D159" s="77"/>
      <c r="E159" s="144">
        <v>0</v>
      </c>
      <c r="F159" s="314">
        <v>0</v>
      </c>
      <c r="G159" s="78" t="s">
        <v>127</v>
      </c>
      <c r="H159" s="141"/>
      <c r="I159" s="75"/>
      <c r="J159" s="141"/>
      <c r="N159" s="75"/>
      <c r="O159" s="77"/>
    </row>
    <row r="160" spans="1:15" s="74" customFormat="1" ht="15.75" x14ac:dyDescent="0.25">
      <c r="A160" s="77">
        <v>3000</v>
      </c>
      <c r="B160" s="77">
        <v>6</v>
      </c>
      <c r="C160" s="77">
        <v>2</v>
      </c>
      <c r="D160" s="77"/>
      <c r="E160" s="76">
        <f>A160*B160*C160</f>
        <v>36000</v>
      </c>
      <c r="F160" s="311">
        <f>E160</f>
        <v>36000</v>
      </c>
      <c r="G160" s="78" t="s">
        <v>121</v>
      </c>
      <c r="H160" s="141"/>
      <c r="I160" s="75"/>
      <c r="J160" s="141"/>
      <c r="N160" s="75"/>
      <c r="O160" s="77"/>
    </row>
    <row r="161" spans="1:15" s="74" customFormat="1" ht="15.75" x14ac:dyDescent="0.25">
      <c r="A161" s="77">
        <v>10000</v>
      </c>
      <c r="B161" s="77"/>
      <c r="C161" s="77">
        <v>2</v>
      </c>
      <c r="D161" s="77"/>
      <c r="E161" s="76">
        <f>C161*A161</f>
        <v>20000</v>
      </c>
      <c r="F161" s="311">
        <f>E161</f>
        <v>20000</v>
      </c>
      <c r="G161" s="78" t="s">
        <v>122</v>
      </c>
      <c r="H161" s="141"/>
      <c r="I161" s="75"/>
      <c r="J161" s="141"/>
      <c r="N161" s="75"/>
      <c r="O161" s="77"/>
    </row>
    <row r="162" spans="1:15" s="74" customFormat="1" ht="15.75" x14ac:dyDescent="0.25">
      <c r="A162" s="77">
        <v>900</v>
      </c>
      <c r="B162" s="77">
        <v>6</v>
      </c>
      <c r="C162" s="77">
        <v>3</v>
      </c>
      <c r="D162" s="77"/>
      <c r="E162" s="76">
        <f>A162*B162*C162</f>
        <v>16200</v>
      </c>
      <c r="F162" s="311">
        <f>E162</f>
        <v>16200</v>
      </c>
      <c r="G162" s="78" t="s">
        <v>125</v>
      </c>
      <c r="H162" s="141"/>
      <c r="I162" s="75"/>
      <c r="J162" s="141"/>
      <c r="N162" s="75"/>
      <c r="O162" s="77"/>
    </row>
    <row r="163" spans="1:15" s="74" customFormat="1" ht="15.75" x14ac:dyDescent="0.25">
      <c r="A163" s="147">
        <v>45</v>
      </c>
      <c r="B163" s="77">
        <v>6</v>
      </c>
      <c r="C163" s="77">
        <v>24</v>
      </c>
      <c r="D163" s="77"/>
      <c r="E163" s="148">
        <f>C163*B163*A163</f>
        <v>6480</v>
      </c>
      <c r="F163" s="311">
        <f>E163*$F$5</f>
        <v>25920</v>
      </c>
      <c r="G163" s="78" t="s">
        <v>123</v>
      </c>
      <c r="H163" s="141"/>
      <c r="I163" s="75"/>
      <c r="J163" s="141"/>
      <c r="N163" s="75"/>
      <c r="O163" s="77"/>
    </row>
    <row r="164" spans="1:15" s="74" customFormat="1" ht="15.75" x14ac:dyDescent="0.25">
      <c r="A164" s="147"/>
      <c r="B164" s="77">
        <v>6</v>
      </c>
      <c r="C164" s="77">
        <v>18</v>
      </c>
      <c r="D164" s="77"/>
      <c r="E164" s="148"/>
      <c r="F164" s="311"/>
      <c r="G164" s="149" t="s">
        <v>198</v>
      </c>
      <c r="H164" s="141"/>
      <c r="I164" s="75"/>
      <c r="J164" s="141"/>
      <c r="N164" s="75"/>
      <c r="O164" s="77"/>
    </row>
    <row r="165" spans="1:15" s="150" customFormat="1" ht="15.75" x14ac:dyDescent="0.25">
      <c r="E165" s="74" t="s">
        <v>3</v>
      </c>
      <c r="F165" s="312">
        <f>SUM(F159:F164)</f>
        <v>98120</v>
      </c>
      <c r="G165" s="78"/>
    </row>
    <row r="166" spans="1:15" s="32" customFormat="1" ht="15.75" x14ac:dyDescent="0.25">
      <c r="F166" s="315"/>
      <c r="G166" s="27"/>
    </row>
    <row r="167" spans="1:15" s="161" customFormat="1" ht="15.75" x14ac:dyDescent="0.25">
      <c r="A167" s="161" t="s">
        <v>37</v>
      </c>
      <c r="E167" s="166"/>
      <c r="F167" s="316"/>
      <c r="G167" s="167"/>
      <c r="H167" s="159"/>
      <c r="I167" s="160"/>
      <c r="J167" s="159"/>
      <c r="N167" s="160"/>
    </row>
    <row r="168" spans="1:15" s="154" customFormat="1" ht="15.75" x14ac:dyDescent="0.25">
      <c r="A168" s="152"/>
      <c r="B168" s="152"/>
      <c r="C168" s="152"/>
      <c r="D168" s="152"/>
      <c r="E168" s="153" t="s">
        <v>205</v>
      </c>
      <c r="F168" s="317" t="s">
        <v>208</v>
      </c>
      <c r="G168" s="154" t="s">
        <v>2</v>
      </c>
      <c r="H168" s="155"/>
      <c r="I168" s="153"/>
      <c r="J168" s="155"/>
      <c r="N168" s="153"/>
      <c r="O168" s="152"/>
    </row>
    <row r="169" spans="1:15" s="154" customFormat="1" ht="15.75" x14ac:dyDescent="0.25">
      <c r="B169" s="152"/>
      <c r="C169" s="152"/>
      <c r="D169" s="152"/>
      <c r="E169" s="156">
        <v>65000</v>
      </c>
      <c r="F169" s="318">
        <f>E169</f>
        <v>65000</v>
      </c>
      <c r="G169" s="157" t="s">
        <v>176</v>
      </c>
      <c r="H169" s="155"/>
      <c r="I169" s="153"/>
      <c r="J169" s="155"/>
      <c r="N169" s="153"/>
      <c r="O169" s="152"/>
    </row>
    <row r="170" spans="1:15" s="154" customFormat="1" ht="15.75" x14ac:dyDescent="0.25">
      <c r="B170" s="152"/>
      <c r="C170" s="152"/>
      <c r="D170" s="152"/>
      <c r="E170" s="156">
        <v>7000</v>
      </c>
      <c r="F170" s="318">
        <f t="shared" ref="F170:F171" si="1">E170</f>
        <v>7000</v>
      </c>
      <c r="G170" s="157" t="s">
        <v>114</v>
      </c>
      <c r="H170" s="155"/>
      <c r="I170" s="153"/>
      <c r="J170" s="155"/>
      <c r="N170" s="153"/>
      <c r="O170" s="152"/>
    </row>
    <row r="171" spans="1:15" s="154" customFormat="1" ht="15.75" x14ac:dyDescent="0.25">
      <c r="B171" s="152"/>
      <c r="C171" s="152"/>
      <c r="D171" s="152"/>
      <c r="E171" s="156">
        <v>5000</v>
      </c>
      <c r="F171" s="318">
        <f t="shared" si="1"/>
        <v>5000</v>
      </c>
      <c r="G171" s="157" t="s">
        <v>36</v>
      </c>
      <c r="H171" s="155"/>
      <c r="I171" s="153"/>
      <c r="J171" s="155"/>
      <c r="N171" s="153"/>
      <c r="O171" s="152"/>
    </row>
    <row r="172" spans="1:15" s="154" customFormat="1" ht="15.75" x14ac:dyDescent="0.25">
      <c r="A172" s="152">
        <v>300</v>
      </c>
      <c r="B172" s="152">
        <v>5</v>
      </c>
      <c r="C172" s="152">
        <v>15</v>
      </c>
      <c r="D172" s="152"/>
      <c r="E172" s="156">
        <f>A172*B172*C172</f>
        <v>22500</v>
      </c>
      <c r="F172" s="318">
        <f>E172</f>
        <v>22500</v>
      </c>
      <c r="G172" s="158" t="s">
        <v>133</v>
      </c>
      <c r="H172" s="155"/>
      <c r="I172" s="153"/>
      <c r="J172" s="155"/>
      <c r="N172" s="153"/>
      <c r="O172" s="152"/>
    </row>
    <row r="173" spans="1:15" s="154" customFormat="1" ht="15.75" x14ac:dyDescent="0.25">
      <c r="A173" s="152">
        <v>3000</v>
      </c>
      <c r="B173" s="152">
        <v>1</v>
      </c>
      <c r="C173" s="152">
        <v>1</v>
      </c>
      <c r="D173" s="152"/>
      <c r="E173" s="156">
        <f>A173*B173*C173</f>
        <v>3000</v>
      </c>
      <c r="F173" s="318"/>
      <c r="G173" s="158" t="s">
        <v>134</v>
      </c>
      <c r="H173" s="155"/>
      <c r="I173" s="153"/>
      <c r="J173" s="155"/>
      <c r="N173" s="153"/>
      <c r="O173" s="152"/>
    </row>
    <row r="174" spans="1:15" s="154" customFormat="1" ht="15.75" x14ac:dyDescent="0.25">
      <c r="A174" s="152"/>
      <c r="B174" s="152"/>
      <c r="E174" s="154" t="s">
        <v>3</v>
      </c>
      <c r="F174" s="317">
        <f>SUM(F169:F173)</f>
        <v>99500</v>
      </c>
      <c r="G174" s="157"/>
      <c r="H174" s="155"/>
      <c r="I174" s="153"/>
      <c r="J174" s="155"/>
      <c r="N174" s="153"/>
      <c r="O174" s="152"/>
    </row>
    <row r="175" spans="1:15" s="1" customFormat="1" ht="15.75" x14ac:dyDescent="0.25">
      <c r="B175" s="2"/>
      <c r="C175" s="2"/>
      <c r="D175" s="2"/>
      <c r="E175" s="15"/>
      <c r="F175" s="295"/>
      <c r="G175" s="10"/>
      <c r="H175" s="6"/>
      <c r="I175" s="5"/>
      <c r="J175" s="6"/>
      <c r="N175" s="5"/>
      <c r="O175" s="2"/>
    </row>
    <row r="176" spans="1:15" s="163" customFormat="1" ht="15.75" x14ac:dyDescent="0.25">
      <c r="A176" s="163" t="s">
        <v>39</v>
      </c>
      <c r="E176" s="164"/>
      <c r="F176" s="319"/>
      <c r="G176" s="165"/>
      <c r="H176" s="162"/>
      <c r="I176" s="21"/>
      <c r="J176" s="162"/>
      <c r="N176" s="21"/>
    </row>
    <row r="177" spans="1:15" s="40" customFormat="1" ht="15.75" x14ac:dyDescent="0.25">
      <c r="A177" s="9" t="s">
        <v>32</v>
      </c>
      <c r="B177" s="9" t="s">
        <v>31</v>
      </c>
      <c r="C177" s="9" t="s">
        <v>1</v>
      </c>
      <c r="D177" s="9"/>
      <c r="E177" s="9" t="s">
        <v>205</v>
      </c>
      <c r="F177" s="320" t="s">
        <v>208</v>
      </c>
      <c r="G177" s="40" t="s">
        <v>2</v>
      </c>
      <c r="H177" s="135"/>
      <c r="I177" s="9"/>
      <c r="J177" s="135"/>
      <c r="N177" s="9"/>
      <c r="O177" s="19"/>
    </row>
    <row r="178" spans="1:15" s="40" customFormat="1" ht="15.75" x14ac:dyDescent="0.25">
      <c r="B178" s="19"/>
      <c r="C178" s="19"/>
      <c r="D178" s="19"/>
      <c r="E178" s="72">
        <v>40000</v>
      </c>
      <c r="F178" s="321">
        <f>E178</f>
        <v>40000</v>
      </c>
      <c r="G178" s="73" t="s">
        <v>128</v>
      </c>
      <c r="H178" s="135"/>
      <c r="I178" s="9"/>
      <c r="J178" s="135"/>
      <c r="N178" s="9"/>
      <c r="O178" s="19"/>
    </row>
    <row r="179" spans="1:15" s="40" customFormat="1" ht="15.75" x14ac:dyDescent="0.25">
      <c r="A179" s="19">
        <f>15*40*1.4</f>
        <v>840</v>
      </c>
      <c r="B179" s="19">
        <v>9</v>
      </c>
      <c r="C179" s="19">
        <v>2</v>
      </c>
      <c r="D179" s="19"/>
      <c r="E179" s="72">
        <f>C179*B179*A179</f>
        <v>15120</v>
      </c>
      <c r="F179" s="321">
        <f>E179</f>
        <v>15120</v>
      </c>
      <c r="G179" s="73" t="s">
        <v>38</v>
      </c>
      <c r="H179" s="135"/>
      <c r="I179" s="9"/>
      <c r="J179" s="135"/>
      <c r="N179" s="9"/>
      <c r="O179" s="19"/>
    </row>
    <row r="180" spans="1:15" s="40" customFormat="1" ht="15.75" x14ac:dyDescent="0.25">
      <c r="A180" s="19">
        <f>30*1.4*16</f>
        <v>672</v>
      </c>
      <c r="B180" s="19">
        <v>6.5</v>
      </c>
      <c r="C180" s="19">
        <v>22</v>
      </c>
      <c r="D180" s="19"/>
      <c r="E180" s="72">
        <f>C180*B180*A180</f>
        <v>96096</v>
      </c>
      <c r="F180" s="321">
        <f>E180</f>
        <v>96096</v>
      </c>
      <c r="G180" s="73" t="s">
        <v>165</v>
      </c>
      <c r="H180" s="135"/>
      <c r="I180" s="9"/>
      <c r="J180" s="135"/>
      <c r="N180" s="9"/>
      <c r="O180" s="19"/>
    </row>
    <row r="181" spans="1:15" s="40" customFormat="1" ht="15.75" x14ac:dyDescent="0.25">
      <c r="B181" s="19"/>
      <c r="E181" s="40" t="s">
        <v>3</v>
      </c>
      <c r="F181" s="320">
        <f>SUM(F178:F180)</f>
        <v>151216</v>
      </c>
      <c r="G181" s="73"/>
      <c r="H181" s="135"/>
      <c r="I181" s="9"/>
      <c r="J181" s="135"/>
      <c r="N181" s="9"/>
      <c r="O181" s="19"/>
    </row>
    <row r="182" spans="1:15" s="1" customFormat="1" ht="15.75" x14ac:dyDescent="0.25">
      <c r="B182" s="2"/>
      <c r="C182" s="2"/>
      <c r="D182" s="2"/>
      <c r="E182" s="15"/>
      <c r="F182" s="295"/>
      <c r="G182" s="10"/>
      <c r="H182" s="6"/>
      <c r="I182" s="5"/>
      <c r="J182" s="6"/>
      <c r="N182" s="5"/>
      <c r="O182" s="2"/>
    </row>
    <row r="183" spans="1:15" s="24" customFormat="1" ht="15.75" x14ac:dyDescent="0.25">
      <c r="A183" s="24" t="s">
        <v>43</v>
      </c>
      <c r="E183" s="170"/>
      <c r="F183" s="322"/>
      <c r="G183" s="171"/>
      <c r="H183" s="172"/>
      <c r="I183" s="25"/>
      <c r="J183" s="172"/>
      <c r="N183" s="25"/>
    </row>
    <row r="184" spans="1:15" s="168" customFormat="1" ht="15.75" x14ac:dyDescent="0.25">
      <c r="A184" s="37" t="s">
        <v>42</v>
      </c>
      <c r="B184" s="37" t="s">
        <v>1</v>
      </c>
      <c r="C184" s="37"/>
      <c r="D184" s="37"/>
      <c r="E184" s="37" t="s">
        <v>205</v>
      </c>
      <c r="F184" s="323" t="s">
        <v>208</v>
      </c>
      <c r="G184" s="168" t="s">
        <v>2</v>
      </c>
      <c r="H184" s="169"/>
      <c r="I184" s="37"/>
      <c r="J184" s="169"/>
      <c r="N184" s="37"/>
      <c r="O184" s="38"/>
    </row>
    <row r="185" spans="1:15" s="168" customFormat="1" ht="15.75" x14ac:dyDescent="0.25">
      <c r="A185" s="38"/>
      <c r="B185" s="38">
        <v>300</v>
      </c>
      <c r="C185" s="38"/>
      <c r="D185" s="38"/>
      <c r="E185" s="173">
        <v>572</v>
      </c>
      <c r="F185" s="324">
        <f t="shared" ref="F185:F187" si="2">E185</f>
        <v>572</v>
      </c>
      <c r="G185" s="174" t="s">
        <v>40</v>
      </c>
      <c r="H185" s="174"/>
      <c r="I185" s="37"/>
      <c r="J185" s="169"/>
      <c r="N185" s="37"/>
      <c r="O185" s="38"/>
    </row>
    <row r="186" spans="1:15" s="168" customFormat="1" ht="15.75" x14ac:dyDescent="0.25">
      <c r="A186" s="38">
        <f>5.5*1.18</f>
        <v>6.4899999999999993</v>
      </c>
      <c r="B186" s="38">
        <v>500</v>
      </c>
      <c r="C186" s="38"/>
      <c r="D186" s="38"/>
      <c r="E186" s="173">
        <f>A186*B186</f>
        <v>3244.9999999999995</v>
      </c>
      <c r="F186" s="324">
        <f t="shared" si="2"/>
        <v>3244.9999999999995</v>
      </c>
      <c r="G186" s="174" t="s">
        <v>44</v>
      </c>
      <c r="H186" s="174"/>
      <c r="I186" s="174"/>
      <c r="J186" s="169"/>
      <c r="O186" s="38"/>
    </row>
    <row r="187" spans="1:15" s="168" customFormat="1" ht="15.75" x14ac:dyDescent="0.25">
      <c r="A187" s="38">
        <f>18*1.18</f>
        <v>21.24</v>
      </c>
      <c r="B187" s="38">
        <v>500</v>
      </c>
      <c r="C187" s="38"/>
      <c r="D187" s="38"/>
      <c r="E187" s="38">
        <f>A187*B187</f>
        <v>10620</v>
      </c>
      <c r="F187" s="324">
        <f t="shared" si="2"/>
        <v>10620</v>
      </c>
      <c r="G187" s="174" t="s">
        <v>166</v>
      </c>
      <c r="H187" s="174"/>
      <c r="I187" s="37"/>
      <c r="J187" s="169"/>
      <c r="O187" s="38"/>
    </row>
    <row r="188" spans="1:15" s="168" customFormat="1" ht="15.75" x14ac:dyDescent="0.25">
      <c r="B188" s="38">
        <v>500</v>
      </c>
      <c r="C188" s="38"/>
      <c r="D188" s="38"/>
      <c r="E188" s="38">
        <v>1144</v>
      </c>
      <c r="F188" s="324">
        <f>E188</f>
        <v>1144</v>
      </c>
      <c r="G188" s="174" t="s">
        <v>41</v>
      </c>
      <c r="H188" s="174"/>
      <c r="I188" s="37"/>
      <c r="J188" s="173"/>
      <c r="O188" s="38"/>
    </row>
    <row r="189" spans="1:15" s="168" customFormat="1" ht="15.75" x14ac:dyDescent="0.25">
      <c r="A189" s="38"/>
      <c r="B189" s="38">
        <v>500</v>
      </c>
      <c r="C189" s="38"/>
      <c r="D189" s="38"/>
      <c r="E189" s="173">
        <v>0</v>
      </c>
      <c r="F189" s="324">
        <v>0</v>
      </c>
      <c r="G189" s="174" t="s">
        <v>56</v>
      </c>
      <c r="H189" s="174"/>
      <c r="I189" s="37"/>
      <c r="J189" s="169"/>
    </row>
    <row r="190" spans="1:15" s="168" customFormat="1" ht="15.75" x14ac:dyDescent="0.25">
      <c r="A190" s="38"/>
      <c r="B190" s="38">
        <v>500</v>
      </c>
      <c r="C190" s="38"/>
      <c r="D190" s="38"/>
      <c r="E190" s="38">
        <v>50000</v>
      </c>
      <c r="F190" s="325">
        <f>E190</f>
        <v>50000</v>
      </c>
      <c r="G190" s="174" t="s">
        <v>79</v>
      </c>
      <c r="H190" s="174"/>
      <c r="I190" s="174"/>
      <c r="J190" s="169"/>
    </row>
    <row r="191" spans="1:15" s="168" customFormat="1" ht="15.75" x14ac:dyDescent="0.25">
      <c r="A191" s="38">
        <f>25*1.18</f>
        <v>29.5</v>
      </c>
      <c r="B191" s="38">
        <v>500</v>
      </c>
      <c r="C191" s="38"/>
      <c r="D191" s="38"/>
      <c r="E191" s="173">
        <f>A191*B191</f>
        <v>14750</v>
      </c>
      <c r="F191" s="324">
        <f>E191</f>
        <v>14750</v>
      </c>
      <c r="G191" s="174" t="s">
        <v>45</v>
      </c>
      <c r="H191" s="174"/>
      <c r="I191" s="37"/>
      <c r="J191" s="169"/>
    </row>
    <row r="192" spans="1:15" s="168" customFormat="1" ht="15.75" x14ac:dyDescent="0.25">
      <c r="A192" s="38">
        <f>27*1.18</f>
        <v>31.86</v>
      </c>
      <c r="B192" s="38">
        <v>500</v>
      </c>
      <c r="C192" s="38"/>
      <c r="D192" s="38"/>
      <c r="E192" s="173">
        <f t="shared" ref="E192:E196" si="3">A192*B192</f>
        <v>15930</v>
      </c>
      <c r="F192" s="324">
        <f t="shared" ref="F192:F196" si="4">E192</f>
        <v>15930</v>
      </c>
      <c r="G192" s="174" t="s">
        <v>46</v>
      </c>
      <c r="H192" s="174"/>
      <c r="I192" s="37"/>
      <c r="J192" s="169"/>
      <c r="N192" s="37"/>
      <c r="O192" s="38"/>
    </row>
    <row r="193" spans="1:15" s="168" customFormat="1" ht="15.75" x14ac:dyDescent="0.25">
      <c r="A193" s="38">
        <f>15*1.18</f>
        <v>17.7</v>
      </c>
      <c r="B193" s="38">
        <v>500</v>
      </c>
      <c r="C193" s="38"/>
      <c r="D193" s="38"/>
      <c r="E193" s="173">
        <f t="shared" si="3"/>
        <v>8850</v>
      </c>
      <c r="F193" s="324">
        <f t="shared" si="4"/>
        <v>8850</v>
      </c>
      <c r="G193" s="174" t="s">
        <v>47</v>
      </c>
      <c r="H193" s="174"/>
      <c r="I193" s="37"/>
      <c r="J193" s="169"/>
      <c r="N193" s="37"/>
      <c r="O193" s="38"/>
    </row>
    <row r="194" spans="1:15" s="168" customFormat="1" ht="15.75" x14ac:dyDescent="0.25">
      <c r="A194" s="38">
        <f>29*1.18</f>
        <v>34.22</v>
      </c>
      <c r="B194" s="38">
        <v>500</v>
      </c>
      <c r="C194" s="38"/>
      <c r="D194" s="38"/>
      <c r="E194" s="173">
        <f t="shared" si="3"/>
        <v>17110</v>
      </c>
      <c r="F194" s="324">
        <f t="shared" si="4"/>
        <v>17110</v>
      </c>
      <c r="G194" s="174" t="s">
        <v>129</v>
      </c>
      <c r="H194" s="174"/>
      <c r="I194" s="37"/>
      <c r="J194" s="169"/>
      <c r="N194" s="37"/>
      <c r="O194" s="38"/>
    </row>
    <row r="195" spans="1:15" s="168" customFormat="1" ht="15.75" x14ac:dyDescent="0.25">
      <c r="A195" s="38">
        <v>80</v>
      </c>
      <c r="B195" s="38">
        <v>500</v>
      </c>
      <c r="C195" s="38"/>
      <c r="D195" s="38"/>
      <c r="E195" s="173">
        <f>B195*A195</f>
        <v>40000</v>
      </c>
      <c r="F195" s="324">
        <v>0</v>
      </c>
      <c r="G195" s="174" t="s">
        <v>119</v>
      </c>
      <c r="H195" s="174"/>
      <c r="I195" s="37"/>
      <c r="J195" s="169"/>
      <c r="N195" s="37"/>
      <c r="O195" s="38"/>
    </row>
    <row r="196" spans="1:15" s="168" customFormat="1" ht="15.75" x14ac:dyDescent="0.25">
      <c r="A196" s="38">
        <v>5</v>
      </c>
      <c r="B196" s="38">
        <v>500</v>
      </c>
      <c r="C196" s="38"/>
      <c r="D196" s="38"/>
      <c r="E196" s="173">
        <f t="shared" si="3"/>
        <v>2500</v>
      </c>
      <c r="F196" s="324">
        <f t="shared" si="4"/>
        <v>2500</v>
      </c>
      <c r="G196" s="174" t="s">
        <v>48</v>
      </c>
      <c r="H196" s="175"/>
      <c r="I196" s="37"/>
      <c r="J196" s="169"/>
      <c r="N196" s="37"/>
      <c r="O196" s="38"/>
    </row>
    <row r="197" spans="1:15" s="168" customFormat="1" ht="15.75" x14ac:dyDescent="0.25">
      <c r="B197" s="38"/>
      <c r="E197" s="168" t="s">
        <v>3</v>
      </c>
      <c r="F197" s="323">
        <f>SUM(F185:F196)</f>
        <v>124721</v>
      </c>
      <c r="G197" s="174"/>
      <c r="H197" s="169"/>
      <c r="I197" s="37"/>
      <c r="J197" s="169"/>
      <c r="N197" s="37"/>
      <c r="O197" s="38"/>
    </row>
    <row r="198" spans="1:15" s="1" customFormat="1" ht="15.75" x14ac:dyDescent="0.25">
      <c r="B198" s="2"/>
      <c r="C198" s="2"/>
      <c r="D198" s="2"/>
      <c r="E198" s="3"/>
      <c r="F198" s="295"/>
      <c r="G198" s="10"/>
      <c r="H198" s="6"/>
      <c r="I198" s="5"/>
      <c r="J198" s="6"/>
      <c r="N198" s="5"/>
      <c r="O198" s="2"/>
    </row>
    <row r="199" spans="1:15" s="189" customFormat="1" ht="15.75" x14ac:dyDescent="0.25">
      <c r="A199" s="189" t="s">
        <v>53</v>
      </c>
      <c r="E199" s="188"/>
      <c r="F199" s="326"/>
      <c r="G199" s="190"/>
      <c r="H199" s="187"/>
      <c r="I199" s="188"/>
      <c r="J199" s="187"/>
    </row>
    <row r="200" spans="1:15" s="180" customFormat="1" ht="15.75" x14ac:dyDescent="0.25">
      <c r="A200" s="184" t="s">
        <v>150</v>
      </c>
      <c r="B200" s="184" t="s">
        <v>1</v>
      </c>
      <c r="C200" s="184"/>
      <c r="D200" s="184"/>
      <c r="E200" s="184" t="s">
        <v>205</v>
      </c>
      <c r="F200" s="327" t="s">
        <v>208</v>
      </c>
      <c r="G200" s="180" t="s">
        <v>2</v>
      </c>
      <c r="H200" s="186"/>
      <c r="I200" s="184"/>
      <c r="J200" s="186"/>
      <c r="N200" s="184"/>
      <c r="O200" s="181"/>
    </row>
    <row r="201" spans="1:15" s="180" customFormat="1" ht="15.75" x14ac:dyDescent="0.25">
      <c r="A201" s="181">
        <v>1000</v>
      </c>
      <c r="B201" s="181">
        <v>4</v>
      </c>
      <c r="C201" s="181"/>
      <c r="D201" s="181"/>
      <c r="E201" s="182">
        <f>A201*B201</f>
        <v>4000</v>
      </c>
      <c r="F201" s="328">
        <f>E201</f>
        <v>4000</v>
      </c>
      <c r="G201" s="183" t="s">
        <v>54</v>
      </c>
      <c r="I201" s="184"/>
      <c r="J201" s="185"/>
      <c r="O201" s="181"/>
    </row>
    <row r="202" spans="1:15" s="180" customFormat="1" ht="15.75" x14ac:dyDescent="0.25">
      <c r="A202" s="181">
        <v>2000</v>
      </c>
      <c r="B202" s="181">
        <v>2</v>
      </c>
      <c r="C202" s="181"/>
      <c r="D202" s="181"/>
      <c r="E202" s="182">
        <v>3000</v>
      </c>
      <c r="F202" s="328">
        <v>3000</v>
      </c>
      <c r="G202" s="183" t="s">
        <v>96</v>
      </c>
      <c r="H202" s="186"/>
      <c r="I202" s="184"/>
      <c r="J202" s="186"/>
      <c r="N202" s="184"/>
      <c r="O202" s="181"/>
    </row>
    <row r="203" spans="1:15" s="180" customFormat="1" ht="15.75" x14ac:dyDescent="0.25">
      <c r="B203" s="181"/>
      <c r="E203" s="180" t="s">
        <v>3</v>
      </c>
      <c r="F203" s="327">
        <f>SUM(F201:F202)</f>
        <v>7000</v>
      </c>
      <c r="G203" s="183"/>
      <c r="H203" s="186"/>
      <c r="I203" s="184"/>
      <c r="J203" s="186"/>
      <c r="N203" s="184"/>
      <c r="O203" s="181"/>
    </row>
    <row r="204" spans="1:15" s="1" customFormat="1" ht="15.75" x14ac:dyDescent="0.25">
      <c r="B204" s="2"/>
      <c r="C204" s="2"/>
      <c r="D204" s="2"/>
      <c r="E204" s="15"/>
      <c r="F204" s="295"/>
      <c r="G204" s="10"/>
      <c r="H204" s="6"/>
      <c r="I204" s="5"/>
      <c r="J204" s="6"/>
      <c r="N204" s="5"/>
      <c r="O204" s="2"/>
    </row>
    <row r="205" spans="1:15" s="137" customFormat="1" ht="15.75" x14ac:dyDescent="0.25">
      <c r="A205" s="137" t="s">
        <v>66</v>
      </c>
      <c r="E205" s="199"/>
      <c r="F205" s="329"/>
      <c r="G205" s="200"/>
      <c r="H205" s="136"/>
      <c r="I205" s="45"/>
      <c r="J205" s="136"/>
      <c r="N205" s="45"/>
    </row>
    <row r="206" spans="1:15" s="192" customFormat="1" ht="15.75" x14ac:dyDescent="0.25">
      <c r="A206" s="191" t="s">
        <v>42</v>
      </c>
      <c r="B206" s="191" t="s">
        <v>1</v>
      </c>
      <c r="C206" s="191" t="s">
        <v>31</v>
      </c>
      <c r="D206" s="191"/>
      <c r="E206" s="191" t="s">
        <v>205</v>
      </c>
      <c r="F206" s="330" t="s">
        <v>208</v>
      </c>
      <c r="G206" s="192" t="s">
        <v>2</v>
      </c>
      <c r="H206" s="193"/>
      <c r="I206" s="191"/>
      <c r="J206" s="193"/>
      <c r="N206" s="191"/>
      <c r="O206" s="194"/>
    </row>
    <row r="207" spans="1:15" s="192" customFormat="1" ht="15.75" x14ac:dyDescent="0.25">
      <c r="B207" s="194">
        <v>2</v>
      </c>
      <c r="C207" s="194"/>
      <c r="D207" s="194"/>
      <c r="E207" s="195">
        <v>30000</v>
      </c>
      <c r="F207" s="331">
        <f>E207</f>
        <v>30000</v>
      </c>
      <c r="G207" s="196" t="s">
        <v>202</v>
      </c>
      <c r="H207" s="196"/>
      <c r="I207" s="197"/>
      <c r="J207" s="193"/>
      <c r="N207" s="191"/>
      <c r="O207" s="194"/>
    </row>
    <row r="208" spans="1:15" s="192" customFormat="1" ht="15.75" x14ac:dyDescent="0.25">
      <c r="B208" s="194">
        <v>350</v>
      </c>
      <c r="C208" s="194"/>
      <c r="D208" s="194"/>
      <c r="E208" s="195">
        <v>16000</v>
      </c>
      <c r="F208" s="331">
        <f>E208</f>
        <v>16000</v>
      </c>
      <c r="G208" s="194" t="s">
        <v>55</v>
      </c>
      <c r="H208" s="193"/>
      <c r="I208" s="191"/>
      <c r="J208" s="263" t="s">
        <v>182</v>
      </c>
      <c r="N208" s="191"/>
      <c r="O208" s="194"/>
    </row>
    <row r="209" spans="1:15" s="192" customFormat="1" ht="15.75" x14ac:dyDescent="0.25">
      <c r="B209" s="194"/>
      <c r="C209" s="194"/>
      <c r="D209" s="194"/>
      <c r="E209" s="195">
        <v>155170</v>
      </c>
      <c r="F209" s="331">
        <f>E209</f>
        <v>155170</v>
      </c>
      <c r="G209" s="196" t="s">
        <v>58</v>
      </c>
      <c r="H209" s="193"/>
      <c r="I209" s="195"/>
      <c r="J209" s="195">
        <f>(3800+1600)*1.18</f>
        <v>6372</v>
      </c>
      <c r="K209" s="198"/>
      <c r="N209" s="191"/>
      <c r="O209" s="194"/>
    </row>
    <row r="210" spans="1:15" s="192" customFormat="1" ht="15.75" x14ac:dyDescent="0.25">
      <c r="B210" s="194"/>
      <c r="C210" s="194"/>
      <c r="D210" s="194"/>
      <c r="E210" s="195"/>
      <c r="F210" s="331"/>
      <c r="G210" s="196" t="s">
        <v>59</v>
      </c>
      <c r="H210" s="193"/>
      <c r="I210" s="195"/>
      <c r="J210" s="195">
        <f>4600*4*1.18</f>
        <v>21712</v>
      </c>
      <c r="N210" s="191"/>
      <c r="O210" s="194"/>
    </row>
    <row r="211" spans="1:15" s="192" customFormat="1" ht="15.75" x14ac:dyDescent="0.25">
      <c r="B211" s="194"/>
      <c r="C211" s="194"/>
      <c r="D211" s="194"/>
      <c r="E211" s="195"/>
      <c r="F211" s="331"/>
      <c r="G211" s="196" t="s">
        <v>60</v>
      </c>
      <c r="H211" s="193"/>
      <c r="I211" s="195"/>
      <c r="J211" s="195">
        <f>11200*1.18</f>
        <v>13216</v>
      </c>
      <c r="N211" s="191"/>
      <c r="O211" s="194"/>
    </row>
    <row r="212" spans="1:15" s="192" customFormat="1" ht="15.75" x14ac:dyDescent="0.25">
      <c r="B212" s="194"/>
      <c r="C212" s="194"/>
      <c r="D212" s="194"/>
      <c r="E212" s="195"/>
      <c r="F212" s="331"/>
      <c r="G212" s="196" t="s">
        <v>61</v>
      </c>
      <c r="H212" s="193"/>
      <c r="I212" s="195"/>
      <c r="J212" s="195">
        <f>6000*1.18</f>
        <v>7080</v>
      </c>
      <c r="N212" s="191"/>
      <c r="O212" s="194"/>
    </row>
    <row r="213" spans="1:15" s="192" customFormat="1" ht="15.75" x14ac:dyDescent="0.25">
      <c r="B213" s="194"/>
      <c r="C213" s="194"/>
      <c r="D213" s="194"/>
      <c r="E213" s="195"/>
      <c r="F213" s="331"/>
      <c r="G213" s="196" t="s">
        <v>62</v>
      </c>
      <c r="H213" s="193"/>
      <c r="I213" s="195"/>
      <c r="J213" s="195">
        <f>11200*1.18</f>
        <v>13216</v>
      </c>
      <c r="N213" s="191"/>
      <c r="O213" s="194"/>
    </row>
    <row r="214" spans="1:15" s="192" customFormat="1" ht="15.75" x14ac:dyDescent="0.25">
      <c r="B214" s="194"/>
      <c r="C214" s="194"/>
      <c r="D214" s="194"/>
      <c r="E214" s="195"/>
      <c r="F214" s="331"/>
      <c r="G214" s="196" t="s">
        <v>63</v>
      </c>
      <c r="H214" s="193"/>
      <c r="I214" s="195"/>
      <c r="J214" s="195">
        <f>(1600+1000+1200)*6*1.18</f>
        <v>26904</v>
      </c>
      <c r="N214" s="191"/>
      <c r="O214" s="194"/>
    </row>
    <row r="215" spans="1:15" s="192" customFormat="1" ht="15.75" x14ac:dyDescent="0.25">
      <c r="B215" s="194"/>
      <c r="C215" s="194"/>
      <c r="D215" s="194"/>
      <c r="E215" s="195"/>
      <c r="F215" s="331"/>
      <c r="G215" s="196" t="s">
        <v>64</v>
      </c>
      <c r="H215" s="193"/>
      <c r="I215" s="195"/>
      <c r="J215" s="195">
        <f>9600*1.18</f>
        <v>11328</v>
      </c>
      <c r="N215" s="191"/>
      <c r="O215" s="194"/>
    </row>
    <row r="216" spans="1:15" s="192" customFormat="1" ht="15.75" x14ac:dyDescent="0.25">
      <c r="B216" s="194"/>
      <c r="C216" s="194"/>
      <c r="D216" s="194"/>
      <c r="E216" s="195"/>
      <c r="F216" s="331"/>
      <c r="G216" s="196" t="s">
        <v>11</v>
      </c>
      <c r="H216" s="193"/>
      <c r="I216" s="195"/>
      <c r="J216" s="195">
        <f>(12700+8600)*1.18</f>
        <v>25134</v>
      </c>
      <c r="N216" s="191"/>
      <c r="O216" s="194"/>
    </row>
    <row r="217" spans="1:15" s="192" customFormat="1" ht="15.75" x14ac:dyDescent="0.25">
      <c r="B217" s="194"/>
      <c r="C217" s="194"/>
      <c r="D217" s="194"/>
      <c r="E217" s="195"/>
      <c r="F217" s="331"/>
      <c r="G217" s="196" t="s">
        <v>65</v>
      </c>
      <c r="H217" s="193"/>
      <c r="I217" s="195"/>
      <c r="J217" s="195">
        <f>5400*1.18</f>
        <v>6372</v>
      </c>
      <c r="N217" s="191"/>
      <c r="O217" s="194"/>
    </row>
    <row r="218" spans="1:15" s="192" customFormat="1" ht="15.75" x14ac:dyDescent="0.25">
      <c r="B218" s="194"/>
      <c r="C218" s="194"/>
      <c r="D218" s="194"/>
      <c r="E218" s="195"/>
      <c r="F218" s="331"/>
      <c r="G218" s="196" t="s">
        <v>67</v>
      </c>
      <c r="H218" s="193"/>
      <c r="I218" s="195"/>
      <c r="J218" s="195">
        <v>600</v>
      </c>
      <c r="N218" s="191"/>
      <c r="O218" s="194"/>
    </row>
    <row r="219" spans="1:15" s="192" customFormat="1" ht="15.75" x14ac:dyDescent="0.25">
      <c r="B219" s="194"/>
      <c r="E219" s="192" t="s">
        <v>3</v>
      </c>
      <c r="F219" s="330">
        <f>SUM(F207:F218)</f>
        <v>201170</v>
      </c>
      <c r="G219" s="196"/>
      <c r="H219" s="193"/>
      <c r="I219" s="191"/>
      <c r="J219" s="193"/>
      <c r="N219" s="191"/>
      <c r="O219" s="194"/>
    </row>
    <row r="220" spans="1:15" s="1" customFormat="1" ht="15.75" x14ac:dyDescent="0.25">
      <c r="B220" s="2"/>
      <c r="C220" s="2"/>
      <c r="D220" s="2"/>
      <c r="E220" s="15"/>
      <c r="F220" s="295"/>
      <c r="H220" s="6"/>
      <c r="I220" s="5"/>
      <c r="J220" s="6"/>
      <c r="N220" s="5"/>
      <c r="O220" s="2"/>
    </row>
    <row r="221" spans="1:15" s="33" customFormat="1" ht="15.75" x14ac:dyDescent="0.25">
      <c r="A221" s="33" t="s">
        <v>70</v>
      </c>
      <c r="B221" s="34"/>
      <c r="C221" s="34"/>
      <c r="D221" s="34"/>
      <c r="E221" s="121"/>
      <c r="F221" s="332"/>
      <c r="G221" s="116"/>
      <c r="H221" s="117"/>
      <c r="I221" s="36"/>
      <c r="J221" s="117"/>
      <c r="N221" s="36"/>
      <c r="O221" s="34"/>
    </row>
    <row r="222" spans="1:15" s="98" customFormat="1" ht="15.75" x14ac:dyDescent="0.25">
      <c r="B222" s="98" t="s">
        <v>69</v>
      </c>
      <c r="C222" s="98" t="s">
        <v>1</v>
      </c>
      <c r="E222" s="43" t="s">
        <v>205</v>
      </c>
      <c r="F222" s="333" t="s">
        <v>208</v>
      </c>
      <c r="G222" s="98" t="s">
        <v>2</v>
      </c>
      <c r="N222" s="82"/>
      <c r="O222" s="81"/>
    </row>
    <row r="223" spans="1:15" s="98" customFormat="1" ht="15.75" x14ac:dyDescent="0.25">
      <c r="A223" s="122">
        <v>21667</v>
      </c>
      <c r="B223" s="80">
        <v>6</v>
      </c>
      <c r="C223" s="80">
        <v>1</v>
      </c>
      <c r="D223" s="80"/>
      <c r="E223" s="81">
        <f>C223*B223*A223</f>
        <v>130002</v>
      </c>
      <c r="F223" s="334">
        <v>100000</v>
      </c>
      <c r="G223" s="80" t="s">
        <v>159</v>
      </c>
      <c r="I223" s="81"/>
      <c r="N223" s="43"/>
      <c r="O223" s="80"/>
    </row>
    <row r="224" spans="1:15" s="98" customFormat="1" ht="15.75" x14ac:dyDescent="0.25">
      <c r="A224" s="201">
        <v>30000</v>
      </c>
      <c r="B224" s="80">
        <v>5</v>
      </c>
      <c r="C224" s="80">
        <v>1</v>
      </c>
      <c r="D224" s="80"/>
      <c r="E224" s="81">
        <f>C224*B224*A224</f>
        <v>150000</v>
      </c>
      <c r="F224" s="334">
        <v>40000</v>
      </c>
      <c r="G224" s="80" t="s">
        <v>160</v>
      </c>
      <c r="I224" s="81"/>
      <c r="N224" s="43"/>
      <c r="O224" s="80"/>
    </row>
    <row r="225" spans="1:15" s="98" customFormat="1" ht="15.75" x14ac:dyDescent="0.25">
      <c r="A225" s="202">
        <v>10000</v>
      </c>
      <c r="B225" s="80">
        <v>4</v>
      </c>
      <c r="C225" s="80">
        <v>1</v>
      </c>
      <c r="D225" s="80"/>
      <c r="E225" s="81">
        <f>C225*B225*A225</f>
        <v>40000</v>
      </c>
      <c r="F225" s="334">
        <f>E225</f>
        <v>40000</v>
      </c>
      <c r="G225" s="80" t="s">
        <v>162</v>
      </c>
      <c r="H225" s="81"/>
      <c r="I225" s="81"/>
      <c r="N225" s="43"/>
      <c r="O225" s="80"/>
    </row>
    <row r="226" spans="1:15" s="98" customFormat="1" ht="15.75" x14ac:dyDescent="0.25">
      <c r="A226" s="202">
        <v>5000</v>
      </c>
      <c r="B226" s="80">
        <v>7</v>
      </c>
      <c r="C226" s="80">
        <v>1</v>
      </c>
      <c r="D226" s="80"/>
      <c r="E226" s="81">
        <f>A226*B226*C226</f>
        <v>35000</v>
      </c>
      <c r="F226" s="334">
        <v>0</v>
      </c>
      <c r="G226" s="80" t="s">
        <v>163</v>
      </c>
      <c r="H226" s="81"/>
      <c r="I226" s="81"/>
      <c r="N226" s="43"/>
      <c r="O226" s="80"/>
    </row>
    <row r="227" spans="1:15" s="98" customFormat="1" ht="15.75" x14ac:dyDescent="0.25">
      <c r="A227" s="202">
        <v>10000</v>
      </c>
      <c r="B227" s="80">
        <v>3</v>
      </c>
      <c r="C227" s="80">
        <v>1</v>
      </c>
      <c r="D227" s="80"/>
      <c r="E227" s="81">
        <f>C227*B227*A227</f>
        <v>30000</v>
      </c>
      <c r="F227" s="334">
        <f>E227</f>
        <v>30000</v>
      </c>
      <c r="G227" s="80" t="s">
        <v>7</v>
      </c>
      <c r="H227" s="81"/>
      <c r="I227" s="81"/>
      <c r="N227" s="43"/>
      <c r="O227" s="80"/>
    </row>
    <row r="228" spans="1:15" s="98" customFormat="1" ht="15.75" x14ac:dyDescent="0.25">
      <c r="B228" s="80"/>
      <c r="C228" s="80"/>
      <c r="D228" s="80"/>
      <c r="E228" s="81">
        <v>10000</v>
      </c>
      <c r="F228" s="334">
        <f>E228</f>
        <v>10000</v>
      </c>
      <c r="G228" s="82" t="s">
        <v>151</v>
      </c>
      <c r="H228" s="81"/>
      <c r="I228" s="241"/>
      <c r="J228" s="81"/>
      <c r="N228" s="82"/>
      <c r="O228" s="80"/>
    </row>
    <row r="229" spans="1:15" s="98" customFormat="1" ht="15.75" x14ac:dyDescent="0.25">
      <c r="B229" s="80"/>
      <c r="C229" s="80">
        <v>1</v>
      </c>
      <c r="D229" s="80"/>
      <c r="E229" s="80">
        <v>60000</v>
      </c>
      <c r="F229" s="334">
        <v>0</v>
      </c>
      <c r="G229" s="80" t="s">
        <v>4</v>
      </c>
      <c r="N229" s="82"/>
      <c r="O229" s="80"/>
    </row>
    <row r="230" spans="1:15" s="98" customFormat="1" ht="15.75" x14ac:dyDescent="0.25">
      <c r="B230" s="80"/>
      <c r="C230" s="80">
        <v>1</v>
      </c>
      <c r="D230" s="80"/>
      <c r="E230" s="80">
        <v>7000</v>
      </c>
      <c r="F230" s="334">
        <v>7000</v>
      </c>
      <c r="G230" s="80" t="s">
        <v>152</v>
      </c>
      <c r="I230" s="80"/>
      <c r="N230" s="82"/>
      <c r="O230" s="80"/>
    </row>
    <row r="231" spans="1:15" s="98" customFormat="1" ht="15.75" x14ac:dyDescent="0.25">
      <c r="B231" s="80"/>
      <c r="C231" s="80"/>
      <c r="D231" s="80"/>
      <c r="E231" s="98" t="s">
        <v>3</v>
      </c>
      <c r="F231" s="333">
        <f>SUM(F223:F230)</f>
        <v>227000</v>
      </c>
      <c r="G231" s="80"/>
      <c r="I231" s="80"/>
      <c r="N231" s="82"/>
      <c r="O231" s="80"/>
    </row>
    <row r="232" spans="1:15" s="1" customFormat="1" ht="15.75" x14ac:dyDescent="0.25">
      <c r="A232" s="2"/>
      <c r="B232" s="2"/>
      <c r="C232" s="2"/>
      <c r="D232" s="2"/>
      <c r="E232" s="2"/>
      <c r="F232" s="335"/>
      <c r="N232" s="4"/>
    </row>
    <row r="233" spans="1:15" s="203" customFormat="1" ht="15.75" x14ac:dyDescent="0.25">
      <c r="A233" s="203" t="s">
        <v>8</v>
      </c>
      <c r="F233" s="336"/>
      <c r="N233" s="204"/>
      <c r="O233" s="205"/>
    </row>
    <row r="234" spans="1:15" s="206" customFormat="1" ht="15.75" x14ac:dyDescent="0.25">
      <c r="B234" s="206" t="s">
        <v>31</v>
      </c>
      <c r="C234" s="206" t="s">
        <v>1</v>
      </c>
      <c r="E234" s="207" t="s">
        <v>205</v>
      </c>
      <c r="F234" s="337" t="s">
        <v>208</v>
      </c>
      <c r="G234" s="206" t="s">
        <v>2</v>
      </c>
      <c r="N234" s="128"/>
      <c r="O234" s="132"/>
    </row>
    <row r="235" spans="1:15" s="206" customFormat="1" ht="15.75" x14ac:dyDescent="0.25">
      <c r="A235" s="131">
        <f>5.2*1.18</f>
        <v>6.1360000000000001</v>
      </c>
      <c r="B235" s="131">
        <v>7</v>
      </c>
      <c r="C235" s="131">
        <v>380</v>
      </c>
      <c r="D235" s="131"/>
      <c r="E235" s="208">
        <f>A235*B235*C235</f>
        <v>16321.759999999998</v>
      </c>
      <c r="F235" s="338">
        <f>E235</f>
        <v>16321.759999999998</v>
      </c>
      <c r="G235" s="131" t="s">
        <v>68</v>
      </c>
      <c r="H235" s="131"/>
      <c r="N235" s="128"/>
      <c r="O235" s="132"/>
    </row>
    <row r="236" spans="1:15" s="206" customFormat="1" ht="15.75" x14ac:dyDescent="0.25">
      <c r="A236" s="131"/>
      <c r="B236" s="131"/>
      <c r="C236" s="131"/>
      <c r="D236" s="131"/>
      <c r="E236" s="206" t="s">
        <v>3</v>
      </c>
      <c r="F236" s="337">
        <f>F235</f>
        <v>16321.759999999998</v>
      </c>
      <c r="G236" s="131"/>
      <c r="H236" s="131"/>
      <c r="N236" s="128"/>
      <c r="O236" s="132"/>
    </row>
    <row r="237" spans="1:15" s="1" customFormat="1" ht="15.75" x14ac:dyDescent="0.25">
      <c r="F237" s="288"/>
      <c r="G237" s="20"/>
      <c r="H237" s="22"/>
      <c r="I237" s="4"/>
      <c r="J237" s="3"/>
      <c r="K237" s="3"/>
      <c r="L237" s="3"/>
      <c r="M237" s="3"/>
      <c r="N237" s="4"/>
      <c r="O237" s="3"/>
    </row>
    <row r="238" spans="1:15" s="176" customFormat="1" ht="15.75" x14ac:dyDescent="0.25">
      <c r="A238" s="178" t="s">
        <v>57</v>
      </c>
      <c r="E238" s="177"/>
      <c r="F238" s="339"/>
      <c r="G238" s="209"/>
      <c r="H238" s="209"/>
      <c r="I238" s="177"/>
      <c r="J238" s="177"/>
      <c r="K238" s="177"/>
      <c r="L238" s="177"/>
      <c r="M238" s="177"/>
      <c r="N238" s="177"/>
    </row>
    <row r="239" spans="1:15" s="210" customFormat="1" ht="15.75" x14ac:dyDescent="0.25">
      <c r="B239" s="210" t="s">
        <v>31</v>
      </c>
      <c r="C239" s="210" t="s">
        <v>1</v>
      </c>
      <c r="E239" s="211" t="s">
        <v>205</v>
      </c>
      <c r="F239" s="340" t="s">
        <v>208</v>
      </c>
      <c r="G239" s="210" t="s">
        <v>2</v>
      </c>
      <c r="N239" s="212"/>
      <c r="O239" s="213"/>
    </row>
    <row r="240" spans="1:15" s="215" customFormat="1" ht="15.75" x14ac:dyDescent="0.25">
      <c r="A240" s="214">
        <v>6940</v>
      </c>
      <c r="B240" s="213">
        <v>1</v>
      </c>
      <c r="C240" s="213"/>
      <c r="D240" s="213"/>
      <c r="E240" s="214">
        <f>A240*B240</f>
        <v>6940</v>
      </c>
      <c r="F240" s="341">
        <v>4500</v>
      </c>
      <c r="G240" s="215" t="s">
        <v>135</v>
      </c>
      <c r="H240" s="213"/>
      <c r="J240" s="213"/>
      <c r="K240" s="211"/>
      <c r="L240" s="213"/>
      <c r="M240" s="213"/>
      <c r="N240" s="213"/>
    </row>
    <row r="241" spans="1:15" s="215" customFormat="1" ht="15.75" x14ac:dyDescent="0.25">
      <c r="A241" s="214">
        <v>5580</v>
      </c>
      <c r="B241" s="213">
        <v>1</v>
      </c>
      <c r="C241" s="213"/>
      <c r="D241" s="213"/>
      <c r="E241" s="214">
        <f>A241*B241</f>
        <v>5580</v>
      </c>
      <c r="F241" s="341">
        <v>4500</v>
      </c>
      <c r="G241" s="215" t="s">
        <v>136</v>
      </c>
      <c r="H241" s="213"/>
      <c r="J241" s="213"/>
      <c r="K241" s="211"/>
      <c r="L241" s="213"/>
      <c r="M241" s="213"/>
      <c r="N241" s="213"/>
    </row>
    <row r="242" spans="1:15" s="215" customFormat="1" ht="15.75" x14ac:dyDescent="0.25">
      <c r="A242" s="214">
        <v>10500</v>
      </c>
      <c r="B242" s="213">
        <v>2</v>
      </c>
      <c r="C242" s="213"/>
      <c r="D242" s="213"/>
      <c r="E242" s="214">
        <f>A242*B242</f>
        <v>21000</v>
      </c>
      <c r="F242" s="342">
        <f t="shared" ref="F242:F247" si="5">E242*$F$5</f>
        <v>84000</v>
      </c>
      <c r="G242" s="215" t="s">
        <v>108</v>
      </c>
      <c r="H242" s="213"/>
      <c r="I242" s="213"/>
      <c r="J242" s="213"/>
      <c r="K242" s="213"/>
      <c r="L242" s="213"/>
      <c r="M242" s="213"/>
      <c r="N242" s="213"/>
    </row>
    <row r="243" spans="1:15" s="215" customFormat="1" ht="15.75" x14ac:dyDescent="0.25">
      <c r="A243" s="214">
        <v>115</v>
      </c>
      <c r="B243" s="213">
        <v>2</v>
      </c>
      <c r="C243" s="213">
        <v>9</v>
      </c>
      <c r="D243" s="213"/>
      <c r="E243" s="214">
        <f>C243*B243*A243</f>
        <v>2070</v>
      </c>
      <c r="F243" s="343">
        <f t="shared" si="5"/>
        <v>8280</v>
      </c>
      <c r="G243" s="277" t="s">
        <v>97</v>
      </c>
      <c r="H243" s="213"/>
      <c r="I243" s="278"/>
      <c r="J243" s="213"/>
      <c r="K243" s="213"/>
      <c r="L243" s="213"/>
      <c r="M243" s="213"/>
      <c r="N243" s="213"/>
    </row>
    <row r="244" spans="1:15" s="215" customFormat="1" ht="15.75" x14ac:dyDescent="0.25">
      <c r="A244" s="214">
        <v>110</v>
      </c>
      <c r="B244" s="213">
        <v>1</v>
      </c>
      <c r="C244" s="213">
        <v>9</v>
      </c>
      <c r="D244" s="213"/>
      <c r="E244" s="214">
        <f>C244*B244*A244</f>
        <v>990</v>
      </c>
      <c r="F244" s="343">
        <f t="shared" si="5"/>
        <v>3960</v>
      </c>
      <c r="G244" s="277" t="s">
        <v>132</v>
      </c>
      <c r="H244" s="213"/>
      <c r="I244" s="213"/>
      <c r="J244" s="213"/>
      <c r="K244" s="213"/>
      <c r="L244" s="213"/>
      <c r="M244" s="213"/>
      <c r="N244" s="213"/>
    </row>
    <row r="245" spans="1:15" s="215" customFormat="1" ht="15.75" x14ac:dyDescent="0.25">
      <c r="A245" s="214">
        <v>90</v>
      </c>
      <c r="B245" s="213">
        <v>1</v>
      </c>
      <c r="C245" s="213">
        <v>9</v>
      </c>
      <c r="D245" s="213"/>
      <c r="E245" s="214">
        <f>C245*B245*A245</f>
        <v>810</v>
      </c>
      <c r="F245" s="343">
        <f t="shared" si="5"/>
        <v>3240</v>
      </c>
      <c r="G245" s="277" t="s">
        <v>188</v>
      </c>
      <c r="H245" s="213"/>
      <c r="I245" s="213"/>
      <c r="J245" s="213"/>
      <c r="K245" s="213"/>
      <c r="L245" s="213"/>
      <c r="M245" s="213"/>
      <c r="N245" s="213"/>
    </row>
    <row r="246" spans="1:15" s="215" customFormat="1" ht="15.75" x14ac:dyDescent="0.25">
      <c r="A246" s="214">
        <v>110</v>
      </c>
      <c r="B246" s="213">
        <v>1</v>
      </c>
      <c r="C246" s="213">
        <v>15</v>
      </c>
      <c r="D246" s="213"/>
      <c r="E246" s="214">
        <f>C246*B246*A246</f>
        <v>1650</v>
      </c>
      <c r="F246" s="343">
        <f t="shared" si="5"/>
        <v>6600</v>
      </c>
      <c r="G246" s="215" t="s">
        <v>137</v>
      </c>
      <c r="H246" s="213"/>
      <c r="I246" s="213"/>
      <c r="J246" s="213"/>
      <c r="K246" s="213"/>
      <c r="L246" s="213"/>
      <c r="M246" s="213"/>
      <c r="N246" s="213"/>
    </row>
    <row r="247" spans="1:15" s="215" customFormat="1" ht="15.75" x14ac:dyDescent="0.25">
      <c r="A247" s="214">
        <v>90</v>
      </c>
      <c r="B247" s="213">
        <v>1</v>
      </c>
      <c r="C247" s="213">
        <v>15</v>
      </c>
      <c r="D247" s="213"/>
      <c r="E247" s="214">
        <f t="shared" ref="E247" si="6">C247*B247*A247</f>
        <v>1350</v>
      </c>
      <c r="F247" s="343">
        <f t="shared" si="5"/>
        <v>5400</v>
      </c>
      <c r="G247" s="215" t="s">
        <v>138</v>
      </c>
      <c r="H247" s="213"/>
      <c r="I247" s="213"/>
      <c r="J247" s="213"/>
      <c r="K247" s="213"/>
      <c r="L247" s="213"/>
      <c r="M247" s="213"/>
      <c r="N247" s="213"/>
    </row>
    <row r="248" spans="1:15" s="215" customFormat="1" ht="15.75" x14ac:dyDescent="0.25">
      <c r="A248" s="213"/>
      <c r="B248" s="213"/>
      <c r="E248" s="211" t="s">
        <v>3</v>
      </c>
      <c r="F248" s="340">
        <f>SUM(F240:F247)</f>
        <v>120480</v>
      </c>
      <c r="G248" s="213"/>
      <c r="H248" s="213"/>
      <c r="I248" s="213"/>
      <c r="J248" s="213"/>
      <c r="K248" s="213"/>
      <c r="L248" s="213"/>
      <c r="M248" s="213"/>
      <c r="N248" s="213"/>
    </row>
    <row r="249" spans="1:15" s="16" customFormat="1" ht="15.75" x14ac:dyDescent="0.25">
      <c r="A249" s="22"/>
      <c r="B249" s="22"/>
      <c r="C249" s="22"/>
      <c r="D249" s="22"/>
      <c r="E249" s="134"/>
      <c r="F249" s="344"/>
      <c r="G249" s="22"/>
      <c r="H249" s="22"/>
      <c r="I249" s="22"/>
      <c r="J249" s="22"/>
      <c r="K249" s="22"/>
      <c r="L249" s="22"/>
      <c r="M249" s="22"/>
      <c r="N249" s="22"/>
    </row>
    <row r="250" spans="1:15" s="219" customFormat="1" ht="15.75" x14ac:dyDescent="0.25">
      <c r="A250" s="216" t="s">
        <v>71</v>
      </c>
      <c r="B250" s="217"/>
      <c r="C250" s="217"/>
      <c r="D250" s="217"/>
      <c r="E250" s="217"/>
      <c r="F250" s="345"/>
      <c r="G250" s="217"/>
      <c r="H250" s="217"/>
      <c r="I250" s="218"/>
      <c r="J250" s="217"/>
      <c r="K250" s="217"/>
      <c r="L250" s="217"/>
      <c r="M250" s="217"/>
      <c r="N250" s="217"/>
    </row>
    <row r="251" spans="1:15" s="225" customFormat="1" ht="15.75" x14ac:dyDescent="0.25">
      <c r="C251" s="225" t="s">
        <v>1</v>
      </c>
      <c r="E251" s="224" t="s">
        <v>205</v>
      </c>
      <c r="F251" s="346" t="s">
        <v>208</v>
      </c>
      <c r="G251" s="225" t="s">
        <v>2</v>
      </c>
      <c r="N251" s="226"/>
      <c r="O251" s="220"/>
    </row>
    <row r="252" spans="1:15" s="223" customFormat="1" ht="15.75" x14ac:dyDescent="0.25">
      <c r="A252" s="220"/>
      <c r="B252" s="220"/>
      <c r="C252" s="220"/>
      <c r="D252" s="220"/>
      <c r="E252" s="220">
        <v>2000</v>
      </c>
      <c r="F252" s="347">
        <v>2000</v>
      </c>
      <c r="G252" s="221" t="s">
        <v>100</v>
      </c>
      <c r="H252" s="220"/>
      <c r="J252" s="220"/>
      <c r="K252" s="220"/>
      <c r="L252" s="220"/>
      <c r="M252" s="220"/>
    </row>
    <row r="253" spans="1:15" s="223" customFormat="1" ht="15.75" x14ac:dyDescent="0.25">
      <c r="A253" s="220"/>
      <c r="B253" s="220"/>
      <c r="C253" s="220"/>
      <c r="D253" s="220"/>
      <c r="E253" s="220">
        <v>2000</v>
      </c>
      <c r="F253" s="347">
        <v>2000</v>
      </c>
      <c r="G253" s="221" t="s">
        <v>140</v>
      </c>
      <c r="H253" s="220"/>
      <c r="J253" s="220"/>
      <c r="K253" s="220"/>
      <c r="L253" s="220"/>
      <c r="M253" s="220"/>
    </row>
    <row r="254" spans="1:15" s="223" customFormat="1" ht="15.75" x14ac:dyDescent="0.25">
      <c r="A254" s="220"/>
      <c r="B254" s="220"/>
      <c r="C254" s="220"/>
      <c r="D254" s="220"/>
      <c r="E254" s="220">
        <v>6500</v>
      </c>
      <c r="F254" s="347">
        <v>6500</v>
      </c>
      <c r="G254" s="221" t="s">
        <v>101</v>
      </c>
      <c r="H254" s="220"/>
      <c r="J254" s="220"/>
      <c r="K254" s="220"/>
      <c r="L254" s="220"/>
      <c r="M254" s="220"/>
    </row>
    <row r="255" spans="1:15" s="223" customFormat="1" ht="15.75" x14ac:dyDescent="0.25">
      <c r="A255" s="220"/>
      <c r="B255" s="220"/>
      <c r="C255" s="220"/>
      <c r="D255" s="220"/>
      <c r="E255" s="220">
        <v>4000</v>
      </c>
      <c r="F255" s="347">
        <v>4000</v>
      </c>
      <c r="G255" s="221" t="s">
        <v>98</v>
      </c>
      <c r="H255" s="220"/>
      <c r="J255" s="220"/>
      <c r="K255" s="220"/>
      <c r="L255" s="220"/>
      <c r="M255" s="220"/>
    </row>
    <row r="256" spans="1:15" s="223" customFormat="1" ht="15.75" x14ac:dyDescent="0.25">
      <c r="A256" s="220"/>
      <c r="B256" s="220"/>
      <c r="C256" s="220"/>
      <c r="D256" s="220"/>
      <c r="E256" s="220">
        <v>4500</v>
      </c>
      <c r="F256" s="347">
        <v>4500</v>
      </c>
      <c r="G256" s="221" t="s">
        <v>99</v>
      </c>
      <c r="H256" s="220"/>
      <c r="J256" s="220"/>
      <c r="K256" s="220"/>
      <c r="L256" s="220"/>
      <c r="M256" s="220"/>
    </row>
    <row r="257" spans="1:15" s="223" customFormat="1" ht="15.75" x14ac:dyDescent="0.25">
      <c r="A257" s="220"/>
      <c r="B257" s="220"/>
      <c r="C257" s="220"/>
      <c r="D257" s="220"/>
      <c r="E257" s="220">
        <v>10000</v>
      </c>
      <c r="F257" s="347">
        <v>10000</v>
      </c>
      <c r="G257" s="221" t="s">
        <v>131</v>
      </c>
      <c r="H257" s="220"/>
      <c r="J257" s="220"/>
      <c r="K257" s="220"/>
      <c r="L257" s="220"/>
      <c r="M257" s="220"/>
    </row>
    <row r="258" spans="1:15" s="223" customFormat="1" ht="15.75" x14ac:dyDescent="0.25">
      <c r="A258" s="220"/>
      <c r="B258" s="220"/>
      <c r="C258" s="220"/>
      <c r="D258" s="220"/>
      <c r="E258" s="220">
        <v>3000</v>
      </c>
      <c r="F258" s="347">
        <v>3000</v>
      </c>
      <c r="G258" s="221" t="s">
        <v>102</v>
      </c>
      <c r="H258" s="220"/>
      <c r="J258" s="220"/>
      <c r="K258" s="220"/>
      <c r="L258" s="220"/>
      <c r="M258" s="220"/>
    </row>
    <row r="259" spans="1:15" s="223" customFormat="1" ht="15.75" x14ac:dyDescent="0.25">
      <c r="A259" s="220"/>
      <c r="B259" s="220"/>
      <c r="C259" s="220"/>
      <c r="D259" s="220"/>
      <c r="E259" s="220">
        <v>10000</v>
      </c>
      <c r="F259" s="347">
        <v>10000</v>
      </c>
      <c r="G259" s="221" t="s">
        <v>103</v>
      </c>
      <c r="H259" s="220"/>
      <c r="J259" s="220"/>
      <c r="K259" s="220"/>
      <c r="L259" s="220"/>
      <c r="M259" s="220"/>
    </row>
    <row r="260" spans="1:15" s="223" customFormat="1" ht="15.75" x14ac:dyDescent="0.25">
      <c r="A260" s="220"/>
      <c r="E260" s="220">
        <f>50000*1.18</f>
        <v>59000</v>
      </c>
      <c r="F260" s="347">
        <v>29500</v>
      </c>
      <c r="G260" s="221" t="s">
        <v>130</v>
      </c>
    </row>
    <row r="261" spans="1:15" s="222" customFormat="1" ht="15.75" x14ac:dyDescent="0.25">
      <c r="A261" s="220"/>
      <c r="E261" s="220">
        <v>1800</v>
      </c>
      <c r="F261" s="347"/>
      <c r="G261" s="221" t="s">
        <v>77</v>
      </c>
    </row>
    <row r="262" spans="1:15" s="222" customFormat="1" ht="15.75" x14ac:dyDescent="0.25">
      <c r="A262" s="220"/>
      <c r="E262" s="224" t="s">
        <v>3</v>
      </c>
      <c r="F262" s="346">
        <f>SUM(F252:F261)</f>
        <v>71500</v>
      </c>
      <c r="G262" s="221"/>
    </row>
    <row r="263" spans="1:15" x14ac:dyDescent="0.2">
      <c r="F263" s="287"/>
    </row>
    <row r="264" spans="1:15" s="48" customFormat="1" ht="15.75" x14ac:dyDescent="0.25">
      <c r="A264" s="39" t="s">
        <v>157</v>
      </c>
      <c r="B264" s="39"/>
      <c r="E264" s="26" t="s">
        <v>205</v>
      </c>
      <c r="F264" s="348" t="s">
        <v>208</v>
      </c>
      <c r="G264" s="26" t="s">
        <v>2</v>
      </c>
    </row>
    <row r="265" spans="1:15" s="129" customFormat="1" ht="15.75" x14ac:dyDescent="0.25">
      <c r="E265" s="132">
        <v>50000</v>
      </c>
      <c r="F265" s="349">
        <v>8000</v>
      </c>
      <c r="G265" s="131" t="s">
        <v>185</v>
      </c>
    </row>
    <row r="266" spans="1:15" s="129" customFormat="1" ht="15.75" x14ac:dyDescent="0.25">
      <c r="E266" s="207" t="s">
        <v>3</v>
      </c>
      <c r="F266" s="337">
        <f>SUM(F265)</f>
        <v>8000</v>
      </c>
      <c r="G266" s="131" t="s">
        <v>161</v>
      </c>
    </row>
    <row r="267" spans="1:15" s="32" customFormat="1" ht="15.75" x14ac:dyDescent="0.25">
      <c r="E267" s="134"/>
      <c r="F267" s="344"/>
    </row>
    <row r="268" spans="1:15" s="235" customFormat="1" ht="15" x14ac:dyDescent="0.25">
      <c r="A268" s="238" t="s">
        <v>72</v>
      </c>
      <c r="F268" s="350"/>
    </row>
    <row r="269" spans="1:15" s="118" customFormat="1" ht="15.75" x14ac:dyDescent="0.25">
      <c r="B269" s="118" t="s">
        <v>31</v>
      </c>
      <c r="C269" s="118" t="s">
        <v>1</v>
      </c>
      <c r="E269" s="120" t="s">
        <v>205</v>
      </c>
      <c r="F269" s="308" t="s">
        <v>208</v>
      </c>
      <c r="G269" s="118" t="s">
        <v>2</v>
      </c>
      <c r="N269" s="179"/>
      <c r="O269" s="133"/>
    </row>
    <row r="270" spans="1:15" s="239" customFormat="1" ht="15.75" x14ac:dyDescent="0.25">
      <c r="B270" s="239">
        <v>1</v>
      </c>
      <c r="C270" s="133">
        <v>400</v>
      </c>
      <c r="D270" s="133"/>
      <c r="E270" s="133">
        <v>20000</v>
      </c>
      <c r="F270" s="309">
        <f>E270</f>
        <v>20000</v>
      </c>
      <c r="G270" s="119" t="s">
        <v>216</v>
      </c>
    </row>
    <row r="271" spans="1:15" s="239" customFormat="1" ht="15.75" x14ac:dyDescent="0.25">
      <c r="C271" s="133"/>
      <c r="D271" s="133"/>
      <c r="E271" s="133">
        <v>20000</v>
      </c>
      <c r="F271" s="309">
        <f>E271</f>
        <v>20000</v>
      </c>
      <c r="G271" s="119" t="s">
        <v>217</v>
      </c>
    </row>
    <row r="272" spans="1:15" s="239" customFormat="1" ht="15.75" x14ac:dyDescent="0.25">
      <c r="A272" s="239">
        <v>5</v>
      </c>
      <c r="B272" s="239">
        <v>3</v>
      </c>
      <c r="C272" s="133">
        <v>500</v>
      </c>
      <c r="D272" s="133"/>
      <c r="E272" s="133">
        <f>B272*C272*A272</f>
        <v>7500</v>
      </c>
      <c r="F272" s="309">
        <f>E272</f>
        <v>7500</v>
      </c>
      <c r="G272" s="119" t="s">
        <v>73</v>
      </c>
    </row>
    <row r="273" spans="1:12" s="239" customFormat="1" ht="15.75" x14ac:dyDescent="0.25">
      <c r="C273" s="133"/>
      <c r="D273" s="133"/>
      <c r="E273" s="133">
        <v>10000</v>
      </c>
      <c r="F273" s="309">
        <f>E273</f>
        <v>10000</v>
      </c>
      <c r="G273" s="119" t="s">
        <v>74</v>
      </c>
    </row>
    <row r="274" spans="1:12" s="237" customFormat="1" ht="15.75" x14ac:dyDescent="0.25">
      <c r="E274" s="236" t="s">
        <v>3</v>
      </c>
      <c r="F274" s="308">
        <f>SUM(F270:F273)</f>
        <v>57500</v>
      </c>
    </row>
    <row r="275" spans="1:12" s="32" customFormat="1" ht="15.75" x14ac:dyDescent="0.25">
      <c r="C275" s="243"/>
      <c r="D275" s="243"/>
      <c r="E275" s="134"/>
      <c r="F275" s="344"/>
    </row>
    <row r="276" spans="1:12" s="244" customFormat="1" ht="15.75" x14ac:dyDescent="0.25">
      <c r="A276" s="245" t="s">
        <v>156</v>
      </c>
      <c r="C276" s="245"/>
      <c r="D276" s="245"/>
      <c r="E276" s="246"/>
      <c r="F276" s="351"/>
    </row>
    <row r="277" spans="1:12" s="129" customFormat="1" ht="15.75" x14ac:dyDescent="0.25">
      <c r="C277" s="130"/>
      <c r="D277" s="130"/>
      <c r="E277" s="207" t="s">
        <v>205</v>
      </c>
      <c r="F277" s="337" t="s">
        <v>208</v>
      </c>
      <c r="G277" s="130" t="s">
        <v>2</v>
      </c>
    </row>
    <row r="278" spans="1:12" s="129" customFormat="1" ht="15.75" x14ac:dyDescent="0.25">
      <c r="C278" s="130"/>
      <c r="D278" s="130"/>
      <c r="E278" s="255">
        <v>10000</v>
      </c>
      <c r="F278" s="352">
        <v>0</v>
      </c>
      <c r="G278" s="266" t="s">
        <v>190</v>
      </c>
      <c r="H278" s="129" t="s">
        <v>183</v>
      </c>
    </row>
    <row r="279" spans="1:12" s="129" customFormat="1" ht="15.75" x14ac:dyDescent="0.25">
      <c r="C279" s="130"/>
      <c r="D279" s="130"/>
      <c r="E279" s="255">
        <v>50000</v>
      </c>
      <c r="F279" s="352">
        <v>50000</v>
      </c>
      <c r="G279" s="256" t="s">
        <v>186</v>
      </c>
    </row>
    <row r="280" spans="1:12" s="129" customFormat="1" ht="16.5" thickBot="1" x14ac:dyDescent="0.3">
      <c r="C280" s="130"/>
      <c r="D280" s="130"/>
      <c r="E280" s="207" t="s">
        <v>3</v>
      </c>
      <c r="F280" s="354">
        <f>SUM(F278:F279)</f>
        <v>50000</v>
      </c>
      <c r="G280" s="257"/>
    </row>
    <row r="281" spans="1:12" s="32" customFormat="1" ht="15.75" x14ac:dyDescent="0.25">
      <c r="C281" s="243"/>
      <c r="D281" s="243"/>
      <c r="E281" s="134"/>
      <c r="F281" s="251"/>
    </row>
    <row r="282" spans="1:12" s="32" customFormat="1" ht="15.75" x14ac:dyDescent="0.25">
      <c r="C282" s="243"/>
      <c r="D282" s="243"/>
      <c r="E282" s="134"/>
      <c r="F282" s="251"/>
    </row>
    <row r="283" spans="1:12" s="32" customFormat="1" ht="15.75" x14ac:dyDescent="0.25">
      <c r="C283" s="243"/>
      <c r="D283" s="243"/>
      <c r="E283" s="134"/>
      <c r="F283" s="251"/>
    </row>
    <row r="284" spans="1:12" s="32" customFormat="1" ht="15.75" x14ac:dyDescent="0.25">
      <c r="C284" s="243"/>
      <c r="D284" s="243"/>
      <c r="E284" s="134"/>
      <c r="F284" s="251"/>
    </row>
    <row r="286" spans="1:12" s="227" customFormat="1" ht="15" x14ac:dyDescent="0.25">
      <c r="F286" s="252"/>
      <c r="I286" s="228"/>
      <c r="J286" s="228"/>
    </row>
    <row r="287" spans="1:12" s="32" customFormat="1" x14ac:dyDescent="0.2">
      <c r="F287" s="253"/>
    </row>
    <row r="288" spans="1:12" s="32" customFormat="1" ht="15" x14ac:dyDescent="0.25">
      <c r="F288" s="253"/>
      <c r="K288" s="229"/>
      <c r="L288" s="229"/>
    </row>
    <row r="289" spans="1:12" s="32" customFormat="1" x14ac:dyDescent="0.2">
      <c r="F289" s="253"/>
      <c r="J289" s="230"/>
      <c r="K289" s="231"/>
      <c r="L289" s="231"/>
    </row>
    <row r="290" spans="1:12" s="32" customFormat="1" x14ac:dyDescent="0.2">
      <c r="F290" s="253"/>
      <c r="J290" s="230"/>
      <c r="K290" s="231"/>
      <c r="L290" s="232"/>
    </row>
    <row r="291" spans="1:12" s="32" customFormat="1" x14ac:dyDescent="0.2">
      <c r="F291" s="253"/>
      <c r="J291" s="230"/>
      <c r="K291" s="231"/>
      <c r="L291" s="231"/>
    </row>
    <row r="292" spans="1:12" s="32" customFormat="1" x14ac:dyDescent="0.2">
      <c r="F292" s="253"/>
      <c r="J292" s="230"/>
      <c r="K292" s="231"/>
      <c r="L292" s="231"/>
    </row>
    <row r="293" spans="1:12" s="32" customFormat="1" x14ac:dyDescent="0.2">
      <c r="A293" s="233"/>
      <c r="E293" s="233"/>
      <c r="F293" s="254"/>
      <c r="K293" s="231"/>
      <c r="L293" s="231"/>
    </row>
    <row r="294" spans="1:12" s="32" customFormat="1" x14ac:dyDescent="0.2">
      <c r="F294" s="253"/>
    </row>
    <row r="295" spans="1:12" s="32" customFormat="1" x14ac:dyDescent="0.2">
      <c r="F295" s="253"/>
      <c r="J295" s="234"/>
    </row>
    <row r="296" spans="1:12" s="32" customFormat="1" x14ac:dyDescent="0.2">
      <c r="F296" s="253"/>
      <c r="J296" s="234"/>
    </row>
    <row r="297" spans="1:12" s="32" customFormat="1" x14ac:dyDescent="0.2">
      <c r="F297" s="253"/>
      <c r="J297" s="234"/>
    </row>
    <row r="298" spans="1:12" s="32" customFormat="1" x14ac:dyDescent="0.2">
      <c r="F298" s="253"/>
    </row>
  </sheetData>
  <mergeCells count="1">
    <mergeCell ref="A3:D5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תקציב מעודכן 26.4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Reut Inon</dc:creator>
  <cp:lastModifiedBy>User</cp:lastModifiedBy>
  <cp:lastPrinted>2014-08-14T09:15:41Z</cp:lastPrinted>
  <dcterms:created xsi:type="dcterms:W3CDTF">2014-06-12T11:53:53Z</dcterms:created>
  <dcterms:modified xsi:type="dcterms:W3CDTF">2015-04-26T16:10:18Z</dcterms:modified>
</cp:coreProperties>
</file>